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395" yWindow="285" windowWidth="28320" windowHeight="10485" activeTab="1"/>
  </bookViews>
  <sheets>
    <sheet name="Scherer Data" sheetId="1" r:id="rId1"/>
    <sheet name="Scherer Import" sheetId="2" r:id="rId2"/>
    <sheet name="15 02 16 Scherer" sheetId="5" r:id="rId3"/>
    <sheet name="13 12 31 Data Date" sheetId="6" r:id="rId4"/>
    <sheet name="Sheet1" sheetId="7" r:id="rId5"/>
    <sheet name="Scrap Values" sheetId="8" r:id="rId6"/>
  </sheets>
  <definedNames>
    <definedName name="_xlnm._FilterDatabase" localSheetId="1" hidden="1">'Scherer Import'!$A$2:$V$87</definedName>
    <definedName name="_xlnm._FilterDatabase" localSheetId="4" hidden="1">Sheet1!$A$2:$V$289</definedName>
    <definedName name="ASHPOND">#REF!</definedName>
    <definedName name="_xlnm.Print_Area" localSheetId="2">'15 02 16 Scherer'!$A$1:$AU$62</definedName>
    <definedName name="_xlnm.Print_Area" localSheetId="0">'Scherer Data'!$A$1:$DH$69</definedName>
    <definedName name="_xlnm.Print_Titles" localSheetId="2">'15 02 16 Scherer'!$A:$B</definedName>
    <definedName name="_xlnm.Print_Titles" localSheetId="0">'Scherer Data'!$A:$B</definedName>
  </definedNames>
  <calcPr calcId="145621" iterate="1"/>
</workbook>
</file>

<file path=xl/calcChain.xml><?xml version="1.0" encoding="utf-8"?>
<calcChain xmlns="http://schemas.openxmlformats.org/spreadsheetml/2006/main">
  <c r="H58" i="2" l="1"/>
  <c r="F58" i="2"/>
  <c r="H57" i="2"/>
  <c r="F57" i="2"/>
  <c r="V57" i="2" s="1"/>
  <c r="N57" i="2"/>
  <c r="M57" i="2"/>
  <c r="H56" i="2"/>
  <c r="F56" i="2"/>
  <c r="M56" i="2"/>
  <c r="M58" i="2"/>
  <c r="M55" i="2"/>
  <c r="H55" i="2"/>
  <c r="F55" i="2"/>
  <c r="I57" i="2" l="1"/>
  <c r="O57" i="2" s="1"/>
  <c r="F49" i="2"/>
  <c r="V19" i="2"/>
  <c r="O19" i="2"/>
  <c r="N19" i="2"/>
  <c r="V18" i="2"/>
  <c r="O18" i="2"/>
  <c r="N18" i="2"/>
  <c r="F48" i="2"/>
  <c r="V17" i="2"/>
  <c r="O17" i="2"/>
  <c r="N17" i="2"/>
  <c r="V16" i="2"/>
  <c r="O16" i="2"/>
  <c r="N16" i="2"/>
  <c r="F47" i="2"/>
  <c r="V15" i="2"/>
  <c r="O15" i="2"/>
  <c r="N15" i="2"/>
  <c r="H26" i="2" l="1"/>
  <c r="N56" i="2" l="1"/>
  <c r="N58" i="2"/>
  <c r="N55" i="2"/>
  <c r="E53" i="1" l="1"/>
  <c r="E51" i="1"/>
  <c r="E47" i="1"/>
  <c r="E42" i="1"/>
  <c r="E38" i="1"/>
  <c r="E34" i="1"/>
  <c r="E28" i="1"/>
  <c r="E25" i="1"/>
  <c r="E23" i="1"/>
  <c r="E18" i="1"/>
  <c r="E15" i="1"/>
  <c r="E11" i="1"/>
  <c r="AI14" i="8" l="1"/>
  <c r="K14" i="8"/>
  <c r="Q14" i="8" s="1"/>
  <c r="M14" i="8" s="1"/>
  <c r="AI13" i="8"/>
  <c r="K13" i="8"/>
  <c r="Q13" i="8" s="1"/>
  <c r="M13" i="8" s="1"/>
  <c r="AI12" i="8"/>
  <c r="K12" i="8"/>
  <c r="Q12" i="8" s="1"/>
  <c r="M12" i="8" s="1"/>
  <c r="AI11" i="8"/>
  <c r="K11" i="8"/>
  <c r="Q11" i="8" s="1"/>
  <c r="M11" i="8" s="1"/>
  <c r="AI10" i="8"/>
  <c r="Q10" i="8"/>
  <c r="K9" i="8"/>
  <c r="AI9" i="8" s="1"/>
  <c r="K8" i="8"/>
  <c r="AI8" i="8" s="1"/>
  <c r="K7" i="8"/>
  <c r="AI7" i="8" s="1"/>
  <c r="K6" i="8"/>
  <c r="AI6" i="8" s="1"/>
  <c r="AG5" i="8"/>
  <c r="AI5" i="8" s="1"/>
  <c r="Q5" i="8"/>
  <c r="M5" i="8" s="1"/>
  <c r="K5" i="8"/>
  <c r="Q2" i="8"/>
  <c r="F1" i="8"/>
  <c r="F3" i="8" s="1"/>
  <c r="Q6" i="8" l="1"/>
  <c r="M6" i="8" s="1"/>
  <c r="Q7" i="8"/>
  <c r="M7" i="8" s="1"/>
  <c r="Q8" i="8"/>
  <c r="M8" i="8" s="1"/>
  <c r="Q9" i="8"/>
  <c r="M9" i="8" s="1"/>
  <c r="M9" i="7"/>
  <c r="M12" i="2"/>
  <c r="V12" i="2"/>
  <c r="V9" i="7"/>
  <c r="O12" i="2"/>
  <c r="N12" i="2"/>
  <c r="O9" i="7" l="1"/>
  <c r="N9" i="7"/>
  <c r="O8" i="7"/>
  <c r="H8" i="7"/>
  <c r="V8" i="7" s="1"/>
  <c r="N8" i="7" l="1"/>
  <c r="O13" i="2" l="1"/>
  <c r="O14" i="2"/>
  <c r="O20" i="2"/>
  <c r="O21" i="2"/>
  <c r="N13" i="2"/>
  <c r="N14" i="2"/>
  <c r="N20" i="2"/>
  <c r="N21" i="2"/>
  <c r="N25" i="2"/>
  <c r="N26" i="2"/>
  <c r="N44" i="2"/>
  <c r="N51" i="2"/>
  <c r="N66" i="2"/>
  <c r="Q289" i="7" l="1"/>
  <c r="M289" i="7"/>
  <c r="Q288" i="7"/>
  <c r="M288" i="7"/>
  <c r="Q287" i="7"/>
  <c r="M287" i="7"/>
  <c r="I287" i="7"/>
  <c r="O287" i="7" s="1"/>
  <c r="H287" i="7"/>
  <c r="N287" i="7" s="1"/>
  <c r="F287" i="7"/>
  <c r="M286" i="7"/>
  <c r="I286" i="7"/>
  <c r="O286" i="7" s="1"/>
  <c r="H286" i="7"/>
  <c r="N286" i="7" s="1"/>
  <c r="F286" i="7"/>
  <c r="M285" i="7"/>
  <c r="I285" i="7"/>
  <c r="O285" i="7" s="1"/>
  <c r="H285" i="7"/>
  <c r="F285" i="7"/>
  <c r="M284" i="7"/>
  <c r="I284" i="7"/>
  <c r="O284" i="7" s="1"/>
  <c r="H284" i="7"/>
  <c r="N284" i="7" s="1"/>
  <c r="F284" i="7"/>
  <c r="M283" i="7"/>
  <c r="I283" i="7"/>
  <c r="O283" i="7" s="1"/>
  <c r="H283" i="7"/>
  <c r="N283" i="7" s="1"/>
  <c r="F283" i="7"/>
  <c r="M282" i="7"/>
  <c r="I282" i="7"/>
  <c r="O282" i="7" s="1"/>
  <c r="H282" i="7"/>
  <c r="N282" i="7" s="1"/>
  <c r="F282" i="7"/>
  <c r="M281" i="7"/>
  <c r="I281" i="7"/>
  <c r="O281" i="7" s="1"/>
  <c r="H281" i="7"/>
  <c r="F281" i="7"/>
  <c r="M280" i="7"/>
  <c r="M279" i="7"/>
  <c r="M278" i="7"/>
  <c r="M277" i="7"/>
  <c r="M276" i="7"/>
  <c r="M275" i="7"/>
  <c r="M274" i="7"/>
  <c r="F274" i="7"/>
  <c r="M273" i="7"/>
  <c r="F273" i="7"/>
  <c r="M272" i="7"/>
  <c r="F272" i="7"/>
  <c r="M271" i="7"/>
  <c r="F271" i="7"/>
  <c r="M270" i="7"/>
  <c r="F270" i="7"/>
  <c r="M269" i="7"/>
  <c r="F269" i="7"/>
  <c r="M268" i="7"/>
  <c r="F268" i="7"/>
  <c r="M267" i="7"/>
  <c r="F267" i="7"/>
  <c r="M266" i="7"/>
  <c r="F266" i="7"/>
  <c r="M265" i="7"/>
  <c r="F265" i="7"/>
  <c r="M264" i="7"/>
  <c r="F264" i="7"/>
  <c r="M263" i="7"/>
  <c r="F263" i="7"/>
  <c r="M262" i="7"/>
  <c r="I262" i="7"/>
  <c r="O262" i="7" s="1"/>
  <c r="H262" i="7"/>
  <c r="N262" i="7" s="1"/>
  <c r="F262" i="7"/>
  <c r="M261" i="7"/>
  <c r="I261" i="7"/>
  <c r="O261" i="7" s="1"/>
  <c r="H261" i="7"/>
  <c r="F261" i="7"/>
  <c r="M260" i="7"/>
  <c r="I260" i="7"/>
  <c r="O260" i="7" s="1"/>
  <c r="H260" i="7"/>
  <c r="N260" i="7" s="1"/>
  <c r="F260" i="7"/>
  <c r="M259" i="7"/>
  <c r="I259" i="7"/>
  <c r="O259" i="7" s="1"/>
  <c r="H259" i="7"/>
  <c r="N259" i="7" s="1"/>
  <c r="F259" i="7"/>
  <c r="Q258" i="7"/>
  <c r="M258" i="7"/>
  <c r="I258" i="7"/>
  <c r="O258" i="7" s="1"/>
  <c r="H258" i="7"/>
  <c r="N258" i="7" s="1"/>
  <c r="F258" i="7"/>
  <c r="M257" i="7"/>
  <c r="I257" i="7"/>
  <c r="O257" i="7" s="1"/>
  <c r="H257" i="7"/>
  <c r="N257" i="7" s="1"/>
  <c r="F257" i="7"/>
  <c r="M256" i="7"/>
  <c r="I256" i="7"/>
  <c r="O256" i="7" s="1"/>
  <c r="H256" i="7"/>
  <c r="F256" i="7"/>
  <c r="Q255" i="7"/>
  <c r="Q254" i="7"/>
  <c r="Q253" i="7"/>
  <c r="F253" i="7" s="1"/>
  <c r="M253" i="7"/>
  <c r="I253" i="7"/>
  <c r="O253" i="7" s="1"/>
  <c r="H253" i="7"/>
  <c r="N253" i="7" s="1"/>
  <c r="M252" i="7"/>
  <c r="F252" i="7"/>
  <c r="M251" i="7"/>
  <c r="F251" i="7"/>
  <c r="M250" i="7"/>
  <c r="F250" i="7"/>
  <c r="M249" i="7"/>
  <c r="F249" i="7"/>
  <c r="M248" i="7"/>
  <c r="F248" i="7"/>
  <c r="M247" i="7"/>
  <c r="F247" i="7"/>
  <c r="M246" i="7"/>
  <c r="I246" i="7"/>
  <c r="O246" i="7" s="1"/>
  <c r="F246" i="7"/>
  <c r="M245" i="7"/>
  <c r="I245" i="7"/>
  <c r="O245" i="7" s="1"/>
  <c r="F245" i="7"/>
  <c r="M244" i="7"/>
  <c r="I244" i="7"/>
  <c r="O244" i="7" s="1"/>
  <c r="F244" i="7"/>
  <c r="M243" i="7"/>
  <c r="I243" i="7"/>
  <c r="O243" i="7" s="1"/>
  <c r="F243" i="7"/>
  <c r="M242" i="7"/>
  <c r="I242" i="7"/>
  <c r="O242" i="7" s="1"/>
  <c r="F242" i="7"/>
  <c r="M241" i="7"/>
  <c r="I241" i="7"/>
  <c r="O241" i="7" s="1"/>
  <c r="F241" i="7"/>
  <c r="M240" i="7"/>
  <c r="I240" i="7"/>
  <c r="O240" i="7" s="1"/>
  <c r="H240" i="7"/>
  <c r="N240" i="7" s="1"/>
  <c r="F240" i="7"/>
  <c r="M239" i="7"/>
  <c r="I239" i="7"/>
  <c r="O239" i="7" s="1"/>
  <c r="H239" i="7"/>
  <c r="N239" i="7" s="1"/>
  <c r="F239" i="7"/>
  <c r="M238" i="7"/>
  <c r="I238" i="7"/>
  <c r="O238" i="7" s="1"/>
  <c r="H238" i="7"/>
  <c r="N238" i="7" s="1"/>
  <c r="F238" i="7"/>
  <c r="M237" i="7"/>
  <c r="I237" i="7"/>
  <c r="O237" i="7" s="1"/>
  <c r="H237" i="7"/>
  <c r="F237" i="7"/>
  <c r="M236" i="7"/>
  <c r="I236" i="7"/>
  <c r="O236" i="7" s="1"/>
  <c r="H236" i="7"/>
  <c r="N236" i="7" s="1"/>
  <c r="F236" i="7"/>
  <c r="M235" i="7"/>
  <c r="I235" i="7"/>
  <c r="O235" i="7" s="1"/>
  <c r="H235" i="7"/>
  <c r="N235" i="7" s="1"/>
  <c r="F235" i="7"/>
  <c r="Q234" i="7"/>
  <c r="F234" i="7" s="1"/>
  <c r="I234" i="7" s="1"/>
  <c r="O234" i="7" s="1"/>
  <c r="N234" i="7"/>
  <c r="M234" i="7"/>
  <c r="Q233" i="7"/>
  <c r="M233" i="7"/>
  <c r="Q232" i="7"/>
  <c r="M232" i="7"/>
  <c r="M231" i="7"/>
  <c r="F231" i="7"/>
  <c r="M230" i="7"/>
  <c r="F230" i="7"/>
  <c r="M229" i="7"/>
  <c r="F229" i="7"/>
  <c r="M228" i="7"/>
  <c r="F228" i="7"/>
  <c r="M227" i="7"/>
  <c r="F227" i="7"/>
  <c r="M226" i="7"/>
  <c r="F226" i="7"/>
  <c r="M225" i="7"/>
  <c r="I225" i="7"/>
  <c r="O225" i="7" s="1"/>
  <c r="F225" i="7"/>
  <c r="M224" i="7"/>
  <c r="I224" i="7"/>
  <c r="O224" i="7" s="1"/>
  <c r="F224" i="7"/>
  <c r="M223" i="7"/>
  <c r="I223" i="7"/>
  <c r="O223" i="7" s="1"/>
  <c r="F223" i="7"/>
  <c r="M222" i="7"/>
  <c r="I222" i="7"/>
  <c r="O222" i="7" s="1"/>
  <c r="F222" i="7"/>
  <c r="M221" i="7"/>
  <c r="I221" i="7"/>
  <c r="O221" i="7" s="1"/>
  <c r="F221" i="7"/>
  <c r="M220" i="7"/>
  <c r="I220" i="7"/>
  <c r="O220" i="7" s="1"/>
  <c r="F220" i="7"/>
  <c r="M219" i="7"/>
  <c r="I219" i="7"/>
  <c r="O219" i="7" s="1"/>
  <c r="H219" i="7"/>
  <c r="N219" i="7" s="1"/>
  <c r="F219" i="7"/>
  <c r="M218" i="7"/>
  <c r="I218" i="7"/>
  <c r="O218" i="7" s="1"/>
  <c r="H218" i="7"/>
  <c r="N218" i="7" s="1"/>
  <c r="F218" i="7"/>
  <c r="M217" i="7"/>
  <c r="I217" i="7"/>
  <c r="O217" i="7" s="1"/>
  <c r="H217" i="7"/>
  <c r="F217" i="7"/>
  <c r="M216" i="7"/>
  <c r="I216" i="7"/>
  <c r="O216" i="7" s="1"/>
  <c r="H216" i="7"/>
  <c r="N216" i="7" s="1"/>
  <c r="F216" i="7"/>
  <c r="M215" i="7"/>
  <c r="I215" i="7"/>
  <c r="O215" i="7" s="1"/>
  <c r="H215" i="7"/>
  <c r="N215" i="7" s="1"/>
  <c r="F215" i="7"/>
  <c r="M214" i="7"/>
  <c r="I214" i="7"/>
  <c r="O214" i="7" s="1"/>
  <c r="H214" i="7"/>
  <c r="N214" i="7" s="1"/>
  <c r="F214" i="7"/>
  <c r="M213" i="7"/>
  <c r="F213" i="7"/>
  <c r="M212" i="7"/>
  <c r="F212" i="7"/>
  <c r="M211" i="7"/>
  <c r="F211" i="7"/>
  <c r="M210" i="7"/>
  <c r="F210" i="7"/>
  <c r="M209" i="7"/>
  <c r="F209" i="7"/>
  <c r="M208" i="7"/>
  <c r="F208" i="7"/>
  <c r="M207" i="7"/>
  <c r="I207" i="7"/>
  <c r="O207" i="7" s="1"/>
  <c r="F207" i="7"/>
  <c r="M206" i="7"/>
  <c r="I206" i="7"/>
  <c r="O206" i="7" s="1"/>
  <c r="F206" i="7"/>
  <c r="M205" i="7"/>
  <c r="I205" i="7"/>
  <c r="O205" i="7" s="1"/>
  <c r="F205" i="7"/>
  <c r="M204" i="7"/>
  <c r="I204" i="7"/>
  <c r="O204" i="7" s="1"/>
  <c r="F204" i="7"/>
  <c r="M203" i="7"/>
  <c r="I203" i="7"/>
  <c r="O203" i="7" s="1"/>
  <c r="F203" i="7"/>
  <c r="M202" i="7"/>
  <c r="I202" i="7"/>
  <c r="O202" i="7" s="1"/>
  <c r="F202" i="7"/>
  <c r="Q201" i="7"/>
  <c r="F201" i="7" s="1"/>
  <c r="V201" i="7" s="1"/>
  <c r="N201" i="7"/>
  <c r="M201" i="7"/>
  <c r="Q200" i="7"/>
  <c r="F200" i="7" s="1"/>
  <c r="M200" i="7"/>
  <c r="Q199" i="7"/>
  <c r="F199" i="7" s="1"/>
  <c r="M199" i="7"/>
  <c r="Q198" i="7"/>
  <c r="I198" i="7" s="1"/>
  <c r="O198" i="7" s="1"/>
  <c r="H198" i="7"/>
  <c r="N198" i="7" s="1"/>
  <c r="Q197" i="7"/>
  <c r="I197" i="7" s="1"/>
  <c r="O197" i="7" s="1"/>
  <c r="N197" i="7"/>
  <c r="M197" i="7"/>
  <c r="M196" i="7"/>
  <c r="I196" i="7"/>
  <c r="O196" i="7" s="1"/>
  <c r="H196" i="7"/>
  <c r="N196" i="7" s="1"/>
  <c r="F196" i="7"/>
  <c r="M195" i="7"/>
  <c r="I195" i="7"/>
  <c r="O195" i="7" s="1"/>
  <c r="H195" i="7"/>
  <c r="F195" i="7"/>
  <c r="M194" i="7"/>
  <c r="I194" i="7"/>
  <c r="O194" i="7" s="1"/>
  <c r="H194" i="7"/>
  <c r="N194" i="7" s="1"/>
  <c r="F194" i="7"/>
  <c r="M193" i="7"/>
  <c r="I193" i="7"/>
  <c r="O193" i="7" s="1"/>
  <c r="H193" i="7"/>
  <c r="N193" i="7" s="1"/>
  <c r="F193" i="7"/>
  <c r="M192" i="7"/>
  <c r="I192" i="7"/>
  <c r="O192" i="7" s="1"/>
  <c r="H192" i="7"/>
  <c r="N192" i="7" s="1"/>
  <c r="F192" i="7"/>
  <c r="M191" i="7"/>
  <c r="I191" i="7"/>
  <c r="O191" i="7" s="1"/>
  <c r="H191" i="7"/>
  <c r="N191" i="7" s="1"/>
  <c r="F191" i="7"/>
  <c r="M190" i="7"/>
  <c r="F190" i="7"/>
  <c r="M189" i="7"/>
  <c r="F189" i="7"/>
  <c r="M188" i="7"/>
  <c r="F188" i="7"/>
  <c r="M187" i="7"/>
  <c r="F187" i="7"/>
  <c r="M186" i="7"/>
  <c r="F186" i="7"/>
  <c r="M185" i="7"/>
  <c r="F185" i="7"/>
  <c r="M184" i="7"/>
  <c r="M183" i="7"/>
  <c r="M182" i="7"/>
  <c r="M181" i="7"/>
  <c r="M180" i="7"/>
  <c r="M179" i="7"/>
  <c r="M178" i="7"/>
  <c r="M177" i="7"/>
  <c r="M176" i="7"/>
  <c r="M175" i="7"/>
  <c r="M174" i="7"/>
  <c r="M173" i="7"/>
  <c r="M172" i="7"/>
  <c r="M171" i="7"/>
  <c r="M170" i="7"/>
  <c r="M169" i="7"/>
  <c r="M168" i="7"/>
  <c r="M167" i="7"/>
  <c r="M166" i="7"/>
  <c r="I166" i="7"/>
  <c r="O166" i="7" s="1"/>
  <c r="H166" i="7"/>
  <c r="N166" i="7" s="1"/>
  <c r="F166" i="7"/>
  <c r="M165" i="7"/>
  <c r="I165" i="7"/>
  <c r="O165" i="7" s="1"/>
  <c r="H165" i="7"/>
  <c r="F165" i="7"/>
  <c r="M164" i="7"/>
  <c r="I164" i="7"/>
  <c r="O164" i="7" s="1"/>
  <c r="H164" i="7"/>
  <c r="N164" i="7" s="1"/>
  <c r="F164" i="7"/>
  <c r="M163" i="7"/>
  <c r="I163" i="7"/>
  <c r="O163" i="7" s="1"/>
  <c r="H163" i="7"/>
  <c r="N163" i="7" s="1"/>
  <c r="F163" i="7"/>
  <c r="M162" i="7"/>
  <c r="I162" i="7"/>
  <c r="O162" i="7" s="1"/>
  <c r="H162" i="7"/>
  <c r="N162" i="7" s="1"/>
  <c r="F162" i="7"/>
  <c r="M161" i="7"/>
  <c r="I161" i="7"/>
  <c r="O161" i="7" s="1"/>
  <c r="H161" i="7"/>
  <c r="F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F136" i="7"/>
  <c r="M135" i="7"/>
  <c r="F135" i="7"/>
  <c r="M134" i="7"/>
  <c r="F134" i="7"/>
  <c r="M133" i="7"/>
  <c r="F133" i="7"/>
  <c r="M132" i="7"/>
  <c r="F132" i="7"/>
  <c r="M131" i="7"/>
  <c r="F131" i="7"/>
  <c r="M130" i="7"/>
  <c r="F130" i="7"/>
  <c r="M129" i="7"/>
  <c r="F129" i="7"/>
  <c r="M128" i="7"/>
  <c r="F128" i="7"/>
  <c r="M127" i="7"/>
  <c r="F127" i="7"/>
  <c r="M126" i="7"/>
  <c r="F126" i="7"/>
  <c r="M125" i="7"/>
  <c r="F125" i="7"/>
  <c r="M124" i="7"/>
  <c r="F124" i="7"/>
  <c r="M123" i="7"/>
  <c r="F123" i="7"/>
  <c r="M122" i="7"/>
  <c r="F122" i="7"/>
  <c r="M121" i="7"/>
  <c r="F121" i="7"/>
  <c r="M120" i="7"/>
  <c r="F120" i="7"/>
  <c r="M119" i="7"/>
  <c r="F119" i="7"/>
  <c r="M118" i="7"/>
  <c r="F118" i="7"/>
  <c r="M117" i="7"/>
  <c r="F117" i="7"/>
  <c r="M116" i="7"/>
  <c r="F116" i="7"/>
  <c r="M115" i="7"/>
  <c r="F115" i="7"/>
  <c r="M114" i="7"/>
  <c r="F114" i="7"/>
  <c r="M113" i="7"/>
  <c r="F113" i="7"/>
  <c r="M112" i="7"/>
  <c r="I112" i="7"/>
  <c r="O112" i="7" s="1"/>
  <c r="H112" i="7"/>
  <c r="N112" i="7" s="1"/>
  <c r="F112" i="7"/>
  <c r="M111" i="7"/>
  <c r="I111" i="7"/>
  <c r="O111" i="7" s="1"/>
  <c r="H111" i="7"/>
  <c r="N111" i="7" s="1"/>
  <c r="F111" i="7"/>
  <c r="M110" i="7"/>
  <c r="I110" i="7"/>
  <c r="O110" i="7" s="1"/>
  <c r="H110" i="7"/>
  <c r="F110" i="7"/>
  <c r="M109" i="7"/>
  <c r="I109" i="7"/>
  <c r="O109" i="7" s="1"/>
  <c r="H109" i="7"/>
  <c r="F109" i="7"/>
  <c r="M108" i="7"/>
  <c r="I108" i="7"/>
  <c r="O108" i="7" s="1"/>
  <c r="H108" i="7"/>
  <c r="N108" i="7" s="1"/>
  <c r="F108" i="7"/>
  <c r="M107" i="7"/>
  <c r="I107" i="7"/>
  <c r="O107" i="7" s="1"/>
  <c r="H107" i="7"/>
  <c r="N107" i="7" s="1"/>
  <c r="F107" i="7"/>
  <c r="Q106" i="7"/>
  <c r="F106" i="7" s="1"/>
  <c r="M106" i="7"/>
  <c r="H106" i="7"/>
  <c r="N106" i="7" s="1"/>
  <c r="Q105" i="7"/>
  <c r="I105" i="7" s="1"/>
  <c r="O105" i="7" s="1"/>
  <c r="M105" i="7"/>
  <c r="H105" i="7"/>
  <c r="N105" i="7" s="1"/>
  <c r="Q104" i="7"/>
  <c r="I104" i="7" s="1"/>
  <c r="O104" i="7" s="1"/>
  <c r="N104" i="7"/>
  <c r="M104" i="7"/>
  <c r="F104" i="7"/>
  <c r="V104" i="7" s="1"/>
  <c r="Q103" i="7"/>
  <c r="F103" i="7" s="1"/>
  <c r="N103" i="7"/>
  <c r="M103" i="7"/>
  <c r="M102" i="7"/>
  <c r="I102" i="7"/>
  <c r="O102" i="7" s="1"/>
  <c r="H102" i="7"/>
  <c r="N102" i="7" s="1"/>
  <c r="F102" i="7"/>
  <c r="M101" i="7"/>
  <c r="I101" i="7"/>
  <c r="O101" i="7" s="1"/>
  <c r="H101" i="7"/>
  <c r="N101" i="7" s="1"/>
  <c r="F101" i="7"/>
  <c r="M100" i="7"/>
  <c r="I100" i="7"/>
  <c r="O100" i="7" s="1"/>
  <c r="H100" i="7"/>
  <c r="N100" i="7" s="1"/>
  <c r="F100" i="7"/>
  <c r="M99" i="7"/>
  <c r="I99" i="7"/>
  <c r="O99" i="7" s="1"/>
  <c r="H99" i="7"/>
  <c r="F99" i="7"/>
  <c r="M98" i="7"/>
  <c r="I98" i="7"/>
  <c r="O98" i="7" s="1"/>
  <c r="H98" i="7"/>
  <c r="N98" i="7" s="1"/>
  <c r="F98" i="7"/>
  <c r="M97" i="7"/>
  <c r="I97" i="7"/>
  <c r="O97" i="7" s="1"/>
  <c r="H97" i="7"/>
  <c r="N97" i="7" s="1"/>
  <c r="F97" i="7"/>
  <c r="Q96" i="7"/>
  <c r="I96" i="7" s="1"/>
  <c r="O96" i="7" s="1"/>
  <c r="M96" i="7"/>
  <c r="H96" i="7"/>
  <c r="Q95" i="7"/>
  <c r="F95" i="7" s="1"/>
  <c r="M95" i="7"/>
  <c r="H95" i="7"/>
  <c r="V94" i="7"/>
  <c r="O94" i="7"/>
  <c r="N94" i="7"/>
  <c r="M94" i="7"/>
  <c r="V93" i="7"/>
  <c r="O93" i="7"/>
  <c r="N93" i="7"/>
  <c r="M93" i="7"/>
  <c r="V92" i="7"/>
  <c r="O92" i="7"/>
  <c r="N92" i="7"/>
  <c r="M92" i="7"/>
  <c r="V91" i="7"/>
  <c r="O91" i="7"/>
  <c r="N91" i="7"/>
  <c r="M91" i="7"/>
  <c r="V90" i="7"/>
  <c r="Q90" i="7"/>
  <c r="O90" i="7"/>
  <c r="N90" i="7"/>
  <c r="M90" i="7"/>
  <c r="V89" i="7"/>
  <c r="O89" i="7"/>
  <c r="N89" i="7"/>
  <c r="M89" i="7"/>
  <c r="V88" i="7"/>
  <c r="O88" i="7"/>
  <c r="N88" i="7"/>
  <c r="M88" i="7"/>
  <c r="V87" i="7"/>
  <c r="O87" i="7"/>
  <c r="N87" i="7"/>
  <c r="M87" i="7"/>
  <c r="V86" i="7"/>
  <c r="O86" i="7"/>
  <c r="N86" i="7"/>
  <c r="M86" i="7"/>
  <c r="V85" i="7"/>
  <c r="O85" i="7"/>
  <c r="N85" i="7"/>
  <c r="M85" i="7"/>
  <c r="V84" i="7"/>
  <c r="O84" i="7"/>
  <c r="N84" i="7"/>
  <c r="M84" i="7"/>
  <c r="V83" i="7"/>
  <c r="Q83" i="7"/>
  <c r="O83" i="7"/>
  <c r="N83" i="7"/>
  <c r="M83" i="7"/>
  <c r="V82" i="7"/>
  <c r="O82" i="7"/>
  <c r="N82" i="7"/>
  <c r="M82" i="7"/>
  <c r="V81" i="7"/>
  <c r="O81" i="7"/>
  <c r="N81" i="7"/>
  <c r="M81" i="7"/>
  <c r="M80" i="7"/>
  <c r="F80" i="7"/>
  <c r="M79" i="7"/>
  <c r="F79" i="7"/>
  <c r="M78" i="7"/>
  <c r="F78" i="7"/>
  <c r="M77" i="7"/>
  <c r="F77" i="7"/>
  <c r="M76" i="7"/>
  <c r="F76" i="7"/>
  <c r="M75" i="7"/>
  <c r="F75" i="7"/>
  <c r="M74" i="7"/>
  <c r="I74" i="7"/>
  <c r="O74" i="7" s="1"/>
  <c r="F74" i="7"/>
  <c r="M73" i="7"/>
  <c r="I73" i="7"/>
  <c r="O73" i="7" s="1"/>
  <c r="F73" i="7"/>
  <c r="M72" i="7"/>
  <c r="I72" i="7"/>
  <c r="O72" i="7" s="1"/>
  <c r="F72" i="7"/>
  <c r="M71" i="7"/>
  <c r="I71" i="7"/>
  <c r="O71" i="7" s="1"/>
  <c r="F71" i="7"/>
  <c r="M70" i="7"/>
  <c r="I70" i="7"/>
  <c r="O70" i="7" s="1"/>
  <c r="F70" i="7"/>
  <c r="M69" i="7"/>
  <c r="I69" i="7"/>
  <c r="O69" i="7" s="1"/>
  <c r="F69" i="7"/>
  <c r="Q68" i="7"/>
  <c r="F68" i="7" s="1"/>
  <c r="M68" i="7"/>
  <c r="Q67" i="7"/>
  <c r="F67" i="7" s="1"/>
  <c r="M67" i="7"/>
  <c r="Q66" i="7"/>
  <c r="M66" i="7"/>
  <c r="Q65" i="7"/>
  <c r="M65" i="7"/>
  <c r="M64" i="7"/>
  <c r="M63" i="7"/>
  <c r="M62" i="7"/>
  <c r="I62" i="7"/>
  <c r="O62" i="7" s="1"/>
  <c r="H62" i="7"/>
  <c r="N62" i="7" s="1"/>
  <c r="F62" i="7"/>
  <c r="M61" i="7"/>
  <c r="I61" i="7"/>
  <c r="O61" i="7" s="1"/>
  <c r="H61" i="7"/>
  <c r="F61" i="7"/>
  <c r="M60" i="7"/>
  <c r="M59" i="7"/>
  <c r="F59" i="7"/>
  <c r="M58" i="7"/>
  <c r="F58" i="7"/>
  <c r="M57" i="7"/>
  <c r="I57" i="7"/>
  <c r="O57" i="7" s="1"/>
  <c r="H57" i="7"/>
  <c r="F57" i="7"/>
  <c r="M56" i="7"/>
  <c r="I56" i="7"/>
  <c r="O56" i="7" s="1"/>
  <c r="H56" i="7"/>
  <c r="N56" i="7" s="1"/>
  <c r="F56" i="7"/>
  <c r="M53" i="7"/>
  <c r="I53" i="7"/>
  <c r="O53" i="7" s="1"/>
  <c r="H53" i="7"/>
  <c r="F53" i="7"/>
  <c r="M52" i="7"/>
  <c r="F52" i="7"/>
  <c r="M51" i="7"/>
  <c r="I51" i="7"/>
  <c r="O51" i="7" s="1"/>
  <c r="F51" i="7"/>
  <c r="M50" i="7"/>
  <c r="I50" i="7"/>
  <c r="O50" i="7" s="1"/>
  <c r="H50" i="7"/>
  <c r="N50" i="7" s="1"/>
  <c r="F50" i="7"/>
  <c r="N49" i="7"/>
  <c r="M49" i="7"/>
  <c r="F49" i="7"/>
  <c r="V49" i="7" s="1"/>
  <c r="M48" i="7"/>
  <c r="M47" i="7"/>
  <c r="M46" i="7"/>
  <c r="F46" i="7"/>
  <c r="M45" i="7"/>
  <c r="I45" i="7"/>
  <c r="F45" i="7"/>
  <c r="M44" i="7"/>
  <c r="I44" i="7"/>
  <c r="O44" i="7" s="1"/>
  <c r="H44" i="7"/>
  <c r="F44" i="7"/>
  <c r="M43" i="7"/>
  <c r="F43" i="7"/>
  <c r="M42" i="7"/>
  <c r="I42" i="7"/>
  <c r="O42" i="7" s="1"/>
  <c r="F42" i="7"/>
  <c r="N41" i="7"/>
  <c r="M41" i="7"/>
  <c r="F41" i="7"/>
  <c r="V41" i="7" s="1"/>
  <c r="M40" i="7"/>
  <c r="F40" i="7"/>
  <c r="M39" i="7"/>
  <c r="F39" i="7"/>
  <c r="I38" i="7"/>
  <c r="O38" i="7" s="1"/>
  <c r="H38" i="7"/>
  <c r="N38" i="7" s="1"/>
  <c r="F38" i="7"/>
  <c r="N37" i="7"/>
  <c r="M37" i="7"/>
  <c r="I37" i="7"/>
  <c r="O37" i="7" s="1"/>
  <c r="F37" i="7"/>
  <c r="V37" i="7" s="1"/>
  <c r="M36" i="7"/>
  <c r="I36" i="7"/>
  <c r="O36" i="7" s="1"/>
  <c r="H36" i="7"/>
  <c r="N36" i="7" s="1"/>
  <c r="F36" i="7"/>
  <c r="M35" i="7"/>
  <c r="F35" i="7"/>
  <c r="M34" i="7"/>
  <c r="M33" i="7"/>
  <c r="M32" i="7"/>
  <c r="M31" i="7"/>
  <c r="I31" i="7"/>
  <c r="O31" i="7" s="1"/>
  <c r="H31" i="7"/>
  <c r="F31" i="7"/>
  <c r="M30" i="7"/>
  <c r="M29" i="7"/>
  <c r="M28" i="7"/>
  <c r="M27" i="7"/>
  <c r="M26" i="7"/>
  <c r="F26" i="7"/>
  <c r="M25" i="7"/>
  <c r="F25" i="7"/>
  <c r="M24" i="7"/>
  <c r="F24" i="7"/>
  <c r="M23" i="7"/>
  <c r="F23" i="7"/>
  <c r="M22" i="7"/>
  <c r="I22" i="7"/>
  <c r="O22" i="7" s="1"/>
  <c r="H22" i="7"/>
  <c r="N22" i="7" s="1"/>
  <c r="F22" i="7"/>
  <c r="M21" i="7"/>
  <c r="I21" i="7"/>
  <c r="O21" i="7" s="1"/>
  <c r="H21" i="7"/>
  <c r="N21" i="7" s="1"/>
  <c r="F21" i="7"/>
  <c r="M20" i="7"/>
  <c r="I20" i="7"/>
  <c r="H20" i="7"/>
  <c r="N20" i="7" s="1"/>
  <c r="F20" i="7"/>
  <c r="N19" i="7"/>
  <c r="M19" i="7"/>
  <c r="I19" i="7"/>
  <c r="O19" i="7" s="1"/>
  <c r="F19" i="7"/>
  <c r="V19" i="7" s="1"/>
  <c r="N18" i="7"/>
  <c r="M18" i="7"/>
  <c r="F18" i="7"/>
  <c r="V18" i="7" s="1"/>
  <c r="M17" i="7"/>
  <c r="I17" i="7"/>
  <c r="O17" i="7" s="1"/>
  <c r="H17" i="7"/>
  <c r="F17" i="7"/>
  <c r="M16" i="7"/>
  <c r="I16" i="7"/>
  <c r="O16" i="7" s="1"/>
  <c r="H16" i="7"/>
  <c r="N16" i="7" s="1"/>
  <c r="F16" i="7"/>
  <c r="M15" i="7"/>
  <c r="I15" i="7"/>
  <c r="O15" i="7" s="1"/>
  <c r="H15" i="7"/>
  <c r="N15" i="7" s="1"/>
  <c r="F15" i="7"/>
  <c r="V14" i="7"/>
  <c r="O14" i="7"/>
  <c r="N14" i="7"/>
  <c r="M14" i="7"/>
  <c r="V13" i="7"/>
  <c r="O13" i="7"/>
  <c r="N13" i="7"/>
  <c r="M13" i="7"/>
  <c r="V12" i="7"/>
  <c r="O12" i="7"/>
  <c r="N12" i="7"/>
  <c r="M12" i="7"/>
  <c r="V11" i="7"/>
  <c r="O11" i="7"/>
  <c r="N11" i="7"/>
  <c r="M11" i="7"/>
  <c r="M10" i="7"/>
  <c r="F10" i="7"/>
  <c r="M7" i="7"/>
  <c r="I7" i="7"/>
  <c r="H199" i="7" s="1"/>
  <c r="N199" i="7" s="1"/>
  <c r="F7" i="7"/>
  <c r="M6" i="7"/>
  <c r="F6" i="7"/>
  <c r="M5" i="7"/>
  <c r="I5" i="7"/>
  <c r="O5" i="7" s="1"/>
  <c r="F5" i="7"/>
  <c r="M4" i="7"/>
  <c r="M3" i="7"/>
  <c r="V31" i="7" l="1"/>
  <c r="V50" i="7"/>
  <c r="V238" i="7"/>
  <c r="V282" i="7"/>
  <c r="V284" i="7"/>
  <c r="V257" i="7"/>
  <c r="V53" i="7"/>
  <c r="V61" i="7"/>
  <c r="V107" i="7"/>
  <c r="V106" i="7"/>
  <c r="V161" i="7"/>
  <c r="V218" i="7"/>
  <c r="V219" i="7"/>
  <c r="V36" i="7"/>
  <c r="V239" i="7"/>
  <c r="V102" i="7"/>
  <c r="F105" i="7"/>
  <c r="V105" i="7" s="1"/>
  <c r="V164" i="7"/>
  <c r="F197" i="7"/>
  <c r="V197" i="7" s="1"/>
  <c r="V44" i="7"/>
  <c r="V193" i="7"/>
  <c r="I201" i="7"/>
  <c r="O201" i="7" s="1"/>
  <c r="V214" i="7"/>
  <c r="V215" i="7"/>
  <c r="V235" i="7"/>
  <c r="V286" i="7"/>
  <c r="I41" i="7"/>
  <c r="O41" i="7" s="1"/>
  <c r="I95" i="7"/>
  <c r="O95" i="7" s="1"/>
  <c r="F96" i="7"/>
  <c r="V96" i="7" s="1"/>
  <c r="V99" i="7"/>
  <c r="V100" i="7"/>
  <c r="I106" i="7"/>
  <c r="O106" i="7" s="1"/>
  <c r="V110" i="7"/>
  <c r="V196" i="7"/>
  <c r="V216" i="7"/>
  <c r="V236" i="7"/>
  <c r="V256" i="7"/>
  <c r="V258" i="7"/>
  <c r="V17" i="7"/>
  <c r="V20" i="7"/>
  <c r="V162" i="7"/>
  <c r="V165" i="7"/>
  <c r="V194" i="7"/>
  <c r="F198" i="7"/>
  <c r="V198" i="7" s="1"/>
  <c r="I67" i="7"/>
  <c r="O67" i="7" s="1"/>
  <c r="V95" i="7"/>
  <c r="V22" i="7"/>
  <c r="V62" i="7"/>
  <c r="N95" i="7"/>
  <c r="N96" i="7"/>
  <c r="V97" i="7"/>
  <c r="V111" i="7"/>
  <c r="V192" i="7"/>
  <c r="V15" i="7"/>
  <c r="H47" i="7"/>
  <c r="V47" i="7" s="1"/>
  <c r="V57" i="7"/>
  <c r="V98" i="7"/>
  <c r="V109" i="7"/>
  <c r="N110" i="7"/>
  <c r="V112" i="7"/>
  <c r="V166" i="7"/>
  <c r="H3" i="7"/>
  <c r="N3" i="7" s="1"/>
  <c r="O7" i="7"/>
  <c r="V16" i="7"/>
  <c r="V21" i="7"/>
  <c r="V56" i="7"/>
  <c r="V101" i="7"/>
  <c r="V108" i="7"/>
  <c r="V260" i="7"/>
  <c r="V262" i="7"/>
  <c r="V283" i="7"/>
  <c r="V253" i="7"/>
  <c r="V281" i="7"/>
  <c r="V163" i="7"/>
  <c r="V240" i="7"/>
  <c r="V259" i="7"/>
  <c r="V261" i="7"/>
  <c r="V285" i="7"/>
  <c r="V287" i="7"/>
  <c r="V103" i="7"/>
  <c r="I103" i="7"/>
  <c r="O103" i="7" s="1"/>
  <c r="N17" i="7"/>
  <c r="I18" i="7"/>
  <c r="O18" i="7" s="1"/>
  <c r="O20" i="7"/>
  <c r="N31" i="7"/>
  <c r="N44" i="7"/>
  <c r="O45" i="7"/>
  <c r="N53" i="7"/>
  <c r="N57" i="7"/>
  <c r="N61" i="7"/>
  <c r="N99" i="7"/>
  <c r="N109" i="7"/>
  <c r="N161" i="7"/>
  <c r="N165" i="7"/>
  <c r="V199" i="7"/>
  <c r="I199" i="7"/>
  <c r="O199" i="7" s="1"/>
  <c r="V234" i="7"/>
  <c r="V195" i="7"/>
  <c r="N195" i="7"/>
  <c r="V217" i="7"/>
  <c r="N217" i="7"/>
  <c r="V237" i="7"/>
  <c r="N237" i="7"/>
  <c r="H288" i="7"/>
  <c r="H254" i="7"/>
  <c r="I49" i="7"/>
  <c r="O49" i="7" s="1"/>
  <c r="H63" i="7"/>
  <c r="H65" i="7"/>
  <c r="H232" i="7"/>
  <c r="V38" i="7"/>
  <c r="H39" i="7"/>
  <c r="N39" i="7" s="1"/>
  <c r="H54" i="7"/>
  <c r="V191" i="7"/>
  <c r="N256" i="7"/>
  <c r="N261" i="7"/>
  <c r="N281" i="7"/>
  <c r="N285" i="7"/>
  <c r="N47" i="7" l="1"/>
  <c r="I47" i="7"/>
  <c r="O47" i="7" s="1"/>
  <c r="I3" i="7"/>
  <c r="O3" i="7" s="1"/>
  <c r="V3" i="7"/>
  <c r="V232" i="7"/>
  <c r="I232" i="7"/>
  <c r="O232" i="7" s="1"/>
  <c r="N232" i="7"/>
  <c r="I65" i="7"/>
  <c r="O65" i="7" s="1"/>
  <c r="V65" i="7"/>
  <c r="N65" i="7"/>
  <c r="V63" i="7"/>
  <c r="I63" i="7"/>
  <c r="O63" i="7" s="1"/>
  <c r="N63" i="7"/>
  <c r="N254" i="7"/>
  <c r="V254" i="7"/>
  <c r="I254" i="7"/>
  <c r="O254" i="7" s="1"/>
  <c r="V39" i="7"/>
  <c r="I288" i="7"/>
  <c r="O288" i="7" s="1"/>
  <c r="N288" i="7"/>
  <c r="V288" i="7"/>
  <c r="V54" i="7"/>
  <c r="N54" i="7"/>
  <c r="I54" i="7"/>
  <c r="O54" i="7" s="1"/>
  <c r="I39" i="7"/>
  <c r="O39" i="7" s="1"/>
  <c r="E24" i="1"/>
  <c r="E22" i="1"/>
  <c r="E21" i="1"/>
  <c r="E20" i="1"/>
  <c r="E52" i="1"/>
  <c r="E48" i="1"/>
  <c r="E43" i="1"/>
  <c r="E39" i="1"/>
  <c r="E35" i="1"/>
  <c r="E19" i="1"/>
  <c r="H7" i="7" l="1"/>
  <c r="H73" i="7"/>
  <c r="H71" i="7"/>
  <c r="H69" i="7"/>
  <c r="H74" i="7"/>
  <c r="H72" i="7"/>
  <c r="H70" i="7"/>
  <c r="H213" i="7"/>
  <c r="H210" i="7"/>
  <c r="H43" i="7"/>
  <c r="H211" i="7"/>
  <c r="H212" i="7"/>
  <c r="H208" i="7"/>
  <c r="H209" i="7"/>
  <c r="H124" i="7"/>
  <c r="H123" i="7"/>
  <c r="H122" i="7"/>
  <c r="H121" i="7"/>
  <c r="H120" i="7"/>
  <c r="H119" i="7"/>
  <c r="H24" i="7"/>
  <c r="H160" i="7"/>
  <c r="N160" i="7" s="1"/>
  <c r="H159" i="7"/>
  <c r="N159" i="7" s="1"/>
  <c r="H158" i="7"/>
  <c r="N158" i="7" s="1"/>
  <c r="H157" i="7"/>
  <c r="N157" i="7" s="1"/>
  <c r="H156" i="7"/>
  <c r="N156" i="7" s="1"/>
  <c r="H155" i="7"/>
  <c r="N155" i="7" s="1"/>
  <c r="H154" i="7"/>
  <c r="N154" i="7" s="1"/>
  <c r="H153" i="7"/>
  <c r="N153" i="7" s="1"/>
  <c r="H152" i="7"/>
  <c r="N152" i="7" s="1"/>
  <c r="H151" i="7"/>
  <c r="N151" i="7" s="1"/>
  <c r="H150" i="7"/>
  <c r="N150" i="7" s="1"/>
  <c r="H149" i="7"/>
  <c r="N149" i="7" s="1"/>
  <c r="H148" i="7"/>
  <c r="N148" i="7" s="1"/>
  <c r="H147" i="7"/>
  <c r="N147" i="7" s="1"/>
  <c r="H146" i="7"/>
  <c r="N146" i="7" s="1"/>
  <c r="H145" i="7"/>
  <c r="N145" i="7" s="1"/>
  <c r="H144" i="7"/>
  <c r="N144" i="7" s="1"/>
  <c r="H143" i="7"/>
  <c r="N143" i="7" s="1"/>
  <c r="H142" i="7"/>
  <c r="N142" i="7" s="1"/>
  <c r="H141" i="7"/>
  <c r="N141" i="7" s="1"/>
  <c r="H140" i="7"/>
  <c r="N140" i="7" s="1"/>
  <c r="H139" i="7"/>
  <c r="N139" i="7" s="1"/>
  <c r="H138" i="7"/>
  <c r="N138" i="7" s="1"/>
  <c r="H137" i="7"/>
  <c r="N137" i="7" s="1"/>
  <c r="H30" i="7"/>
  <c r="N30" i="7" s="1"/>
  <c r="H29" i="7"/>
  <c r="N29" i="7" s="1"/>
  <c r="H28" i="7"/>
  <c r="N28" i="7" s="1"/>
  <c r="H27" i="7"/>
  <c r="N27" i="7" s="1"/>
  <c r="H231" i="7"/>
  <c r="H230" i="7"/>
  <c r="H229" i="7"/>
  <c r="H228" i="7"/>
  <c r="H227" i="7"/>
  <c r="H226" i="7"/>
  <c r="H46" i="7"/>
  <c r="H42" i="7"/>
  <c r="H207" i="7"/>
  <c r="H206" i="7"/>
  <c r="H205" i="7"/>
  <c r="H204" i="7"/>
  <c r="H203" i="7"/>
  <c r="H202" i="7"/>
  <c r="H246" i="7"/>
  <c r="H245" i="7"/>
  <c r="H244" i="7"/>
  <c r="H243" i="7"/>
  <c r="H242" i="7"/>
  <c r="H241" i="7"/>
  <c r="H51" i="7"/>
  <c r="H251" i="7"/>
  <c r="H247" i="7"/>
  <c r="H252" i="7"/>
  <c r="H248" i="7"/>
  <c r="H52" i="7"/>
  <c r="H249" i="7"/>
  <c r="H250" i="7"/>
  <c r="H136" i="7"/>
  <c r="H135" i="7"/>
  <c r="H134" i="7"/>
  <c r="H133" i="7"/>
  <c r="H132" i="7"/>
  <c r="H131" i="7"/>
  <c r="H130" i="7"/>
  <c r="H129" i="7"/>
  <c r="H128" i="7"/>
  <c r="H127" i="7"/>
  <c r="H126" i="7"/>
  <c r="H125" i="7"/>
  <c r="H26" i="7"/>
  <c r="H25" i="7"/>
  <c r="H5" i="7"/>
  <c r="H67" i="7"/>
  <c r="H184" i="7"/>
  <c r="N184" i="7" s="1"/>
  <c r="H183" i="7"/>
  <c r="N183" i="7" s="1"/>
  <c r="H182" i="7"/>
  <c r="N182" i="7" s="1"/>
  <c r="H181" i="7"/>
  <c r="N181" i="7" s="1"/>
  <c r="H180" i="7"/>
  <c r="N180" i="7" s="1"/>
  <c r="H179" i="7"/>
  <c r="N179" i="7" s="1"/>
  <c r="H178" i="7"/>
  <c r="N178" i="7" s="1"/>
  <c r="H177" i="7"/>
  <c r="N177" i="7" s="1"/>
  <c r="H176" i="7"/>
  <c r="N176" i="7" s="1"/>
  <c r="H175" i="7"/>
  <c r="N175" i="7" s="1"/>
  <c r="H174" i="7"/>
  <c r="N174" i="7" s="1"/>
  <c r="H173" i="7"/>
  <c r="N173" i="7" s="1"/>
  <c r="H172" i="7"/>
  <c r="N172" i="7" s="1"/>
  <c r="H171" i="7"/>
  <c r="N171" i="7" s="1"/>
  <c r="H170" i="7"/>
  <c r="N170" i="7" s="1"/>
  <c r="H169" i="7"/>
  <c r="N169" i="7" s="1"/>
  <c r="H168" i="7"/>
  <c r="N168" i="7" s="1"/>
  <c r="H167" i="7"/>
  <c r="N167" i="7" s="1"/>
  <c r="H34" i="7"/>
  <c r="N34" i="7" s="1"/>
  <c r="H33" i="7"/>
  <c r="N33" i="7" s="1"/>
  <c r="H32" i="7"/>
  <c r="H80" i="7"/>
  <c r="H10" i="7"/>
  <c r="H79" i="7"/>
  <c r="H78" i="7"/>
  <c r="H77" i="7"/>
  <c r="H76" i="7"/>
  <c r="H75" i="7"/>
  <c r="H190" i="7"/>
  <c r="H189" i="7"/>
  <c r="H188" i="7"/>
  <c r="H187" i="7"/>
  <c r="H186" i="7"/>
  <c r="H185" i="7"/>
  <c r="H35" i="7"/>
  <c r="H6" i="7"/>
  <c r="H68" i="7"/>
  <c r="H225" i="7"/>
  <c r="H224" i="7"/>
  <c r="H223" i="7"/>
  <c r="H222" i="7"/>
  <c r="H221" i="7"/>
  <c r="H220" i="7"/>
  <c r="H45" i="7"/>
  <c r="H118" i="7"/>
  <c r="H117" i="7"/>
  <c r="H116" i="7"/>
  <c r="H115" i="7"/>
  <c r="H114" i="7"/>
  <c r="H113" i="7"/>
  <c r="H23" i="7"/>
  <c r="F52" i="1"/>
  <c r="F48" i="1"/>
  <c r="F43" i="1"/>
  <c r="F39" i="1"/>
  <c r="F35" i="1"/>
  <c r="F24" i="1"/>
  <c r="F20" i="1"/>
  <c r="F21" i="1"/>
  <c r="F22" i="1"/>
  <c r="D30" i="5"/>
  <c r="F11" i="6"/>
  <c r="V113" i="7" l="1"/>
  <c r="N113" i="7"/>
  <c r="V221" i="7"/>
  <c r="N221" i="7"/>
  <c r="N185" i="7"/>
  <c r="V185" i="7"/>
  <c r="V77" i="7"/>
  <c r="N77" i="7"/>
  <c r="N80" i="7"/>
  <c r="V80" i="7"/>
  <c r="N25" i="7"/>
  <c r="V25" i="7"/>
  <c r="N131" i="7"/>
  <c r="V131" i="7"/>
  <c r="N52" i="7"/>
  <c r="V52" i="7"/>
  <c r="N243" i="7"/>
  <c r="V243" i="7"/>
  <c r="N202" i="7"/>
  <c r="V202" i="7"/>
  <c r="N226" i="7"/>
  <c r="V226" i="7"/>
  <c r="I136" i="7"/>
  <c r="O136" i="7" s="1"/>
  <c r="I135" i="7"/>
  <c r="O135" i="7" s="1"/>
  <c r="I134" i="7"/>
  <c r="O134" i="7" s="1"/>
  <c r="I133" i="7"/>
  <c r="O133" i="7" s="1"/>
  <c r="I132" i="7"/>
  <c r="O132" i="7" s="1"/>
  <c r="I131" i="7"/>
  <c r="O131" i="7" s="1"/>
  <c r="I130" i="7"/>
  <c r="O130" i="7" s="1"/>
  <c r="I129" i="7"/>
  <c r="O129" i="7" s="1"/>
  <c r="I128" i="7"/>
  <c r="O128" i="7" s="1"/>
  <c r="I127" i="7"/>
  <c r="O127" i="7" s="1"/>
  <c r="I126" i="7"/>
  <c r="O126" i="7" s="1"/>
  <c r="I125" i="7"/>
  <c r="O125" i="7" s="1"/>
  <c r="I26" i="7"/>
  <c r="O26" i="7" s="1"/>
  <c r="I25" i="7"/>
  <c r="O25" i="7" s="1"/>
  <c r="I231" i="7"/>
  <c r="O231" i="7" s="1"/>
  <c r="I230" i="7"/>
  <c r="O230" i="7" s="1"/>
  <c r="I229" i="7"/>
  <c r="O229" i="7" s="1"/>
  <c r="I228" i="7"/>
  <c r="O228" i="7" s="1"/>
  <c r="I227" i="7"/>
  <c r="O227" i="7" s="1"/>
  <c r="I226" i="7"/>
  <c r="O226" i="7" s="1"/>
  <c r="I46" i="7"/>
  <c r="O46" i="7" s="1"/>
  <c r="I118" i="7"/>
  <c r="O118" i="7" s="1"/>
  <c r="I117" i="7"/>
  <c r="O117" i="7" s="1"/>
  <c r="I116" i="7"/>
  <c r="O116" i="7" s="1"/>
  <c r="I115" i="7"/>
  <c r="O115" i="7" s="1"/>
  <c r="I114" i="7"/>
  <c r="O114" i="7" s="1"/>
  <c r="I113" i="7"/>
  <c r="O113" i="7" s="1"/>
  <c r="I23" i="7"/>
  <c r="O23" i="7" s="1"/>
  <c r="I252" i="7"/>
  <c r="O252" i="7" s="1"/>
  <c r="I251" i="7"/>
  <c r="O251" i="7" s="1"/>
  <c r="I250" i="7"/>
  <c r="O250" i="7" s="1"/>
  <c r="I249" i="7"/>
  <c r="O249" i="7" s="1"/>
  <c r="I248" i="7"/>
  <c r="O248" i="7" s="1"/>
  <c r="I247" i="7"/>
  <c r="O247" i="7" s="1"/>
  <c r="I52" i="7"/>
  <c r="O52" i="7" s="1"/>
  <c r="N23" i="7"/>
  <c r="V23" i="7"/>
  <c r="N116" i="7"/>
  <c r="V116" i="7"/>
  <c r="N220" i="7"/>
  <c r="V220" i="7"/>
  <c r="N224" i="7"/>
  <c r="V224" i="7"/>
  <c r="V35" i="7"/>
  <c r="N35" i="7"/>
  <c r="N188" i="7"/>
  <c r="V188" i="7"/>
  <c r="N76" i="7"/>
  <c r="V76" i="7"/>
  <c r="N10" i="7"/>
  <c r="V10" i="7"/>
  <c r="N5" i="7"/>
  <c r="V5" i="7"/>
  <c r="N126" i="7"/>
  <c r="V126" i="7"/>
  <c r="N130" i="7"/>
  <c r="V130" i="7"/>
  <c r="V134" i="7"/>
  <c r="N134" i="7"/>
  <c r="V249" i="7"/>
  <c r="N249" i="7"/>
  <c r="N247" i="7"/>
  <c r="V247" i="7"/>
  <c r="N242" i="7"/>
  <c r="V242" i="7"/>
  <c r="N246" i="7"/>
  <c r="V246" i="7"/>
  <c r="N205" i="7"/>
  <c r="V205" i="7"/>
  <c r="N46" i="7"/>
  <c r="V46" i="7"/>
  <c r="V229" i="7"/>
  <c r="N229" i="7"/>
  <c r="N119" i="7"/>
  <c r="V119" i="7"/>
  <c r="N123" i="7"/>
  <c r="V123" i="7"/>
  <c r="N212" i="7"/>
  <c r="V212" i="7"/>
  <c r="V213" i="7"/>
  <c r="N213" i="7"/>
  <c r="N69" i="7"/>
  <c r="V69" i="7"/>
  <c r="I80" i="7"/>
  <c r="O80" i="7" s="1"/>
  <c r="I79" i="7"/>
  <c r="O79" i="7" s="1"/>
  <c r="I10" i="7"/>
  <c r="O10" i="7" s="1"/>
  <c r="I78" i="7"/>
  <c r="O78" i="7" s="1"/>
  <c r="I77" i="7"/>
  <c r="O77" i="7" s="1"/>
  <c r="I76" i="7"/>
  <c r="O76" i="7" s="1"/>
  <c r="I75" i="7"/>
  <c r="O75" i="7" s="1"/>
  <c r="V117" i="7"/>
  <c r="N117" i="7"/>
  <c r="V225" i="7"/>
  <c r="N225" i="7"/>
  <c r="N189" i="7"/>
  <c r="V189" i="7"/>
  <c r="N127" i="7"/>
  <c r="V127" i="7"/>
  <c r="N135" i="7"/>
  <c r="V135" i="7"/>
  <c r="N251" i="7"/>
  <c r="V251" i="7"/>
  <c r="N206" i="7"/>
  <c r="V206" i="7"/>
  <c r="N230" i="7"/>
  <c r="V230" i="7"/>
  <c r="N120" i="7"/>
  <c r="V120" i="7"/>
  <c r="N124" i="7"/>
  <c r="V124" i="7"/>
  <c r="N211" i="7"/>
  <c r="V211" i="7"/>
  <c r="N70" i="7"/>
  <c r="V70" i="7"/>
  <c r="N71" i="7"/>
  <c r="V71" i="7"/>
  <c r="I189" i="7"/>
  <c r="O189" i="7" s="1"/>
  <c r="I185" i="7"/>
  <c r="O185" i="7" s="1"/>
  <c r="I190" i="7"/>
  <c r="O190" i="7" s="1"/>
  <c r="I186" i="7"/>
  <c r="O186" i="7" s="1"/>
  <c r="I35" i="7"/>
  <c r="O35" i="7" s="1"/>
  <c r="I187" i="7"/>
  <c r="O187" i="7" s="1"/>
  <c r="I188" i="7"/>
  <c r="O188" i="7" s="1"/>
  <c r="I213" i="7"/>
  <c r="O213" i="7" s="1"/>
  <c r="I212" i="7"/>
  <c r="O212" i="7" s="1"/>
  <c r="I211" i="7"/>
  <c r="O211" i="7" s="1"/>
  <c r="I210" i="7"/>
  <c r="O210" i="7" s="1"/>
  <c r="I209" i="7"/>
  <c r="O209" i="7" s="1"/>
  <c r="I208" i="7"/>
  <c r="O208" i="7" s="1"/>
  <c r="I43" i="7"/>
  <c r="O43" i="7" s="1"/>
  <c r="I6" i="7"/>
  <c r="I68" i="7"/>
  <c r="O68" i="7" s="1"/>
  <c r="N114" i="7"/>
  <c r="V114" i="7"/>
  <c r="N118" i="7"/>
  <c r="V118" i="7"/>
  <c r="N222" i="7"/>
  <c r="V222" i="7"/>
  <c r="N68" i="7"/>
  <c r="V68" i="7"/>
  <c r="N186" i="7"/>
  <c r="V186" i="7"/>
  <c r="N190" i="7"/>
  <c r="V190" i="7"/>
  <c r="N78" i="7"/>
  <c r="V78" i="7"/>
  <c r="N32" i="7"/>
  <c r="N26" i="7"/>
  <c r="V26" i="7"/>
  <c r="N128" i="7"/>
  <c r="V128" i="7"/>
  <c r="N132" i="7"/>
  <c r="V132" i="7"/>
  <c r="N136" i="7"/>
  <c r="V136" i="7"/>
  <c r="N248" i="7"/>
  <c r="V248" i="7"/>
  <c r="N51" i="7"/>
  <c r="V51" i="7"/>
  <c r="N244" i="7"/>
  <c r="V244" i="7"/>
  <c r="N203" i="7"/>
  <c r="V203" i="7"/>
  <c r="N207" i="7"/>
  <c r="V207" i="7"/>
  <c r="N227" i="7"/>
  <c r="V227" i="7"/>
  <c r="N231" i="7"/>
  <c r="V231" i="7"/>
  <c r="N121" i="7"/>
  <c r="V121" i="7"/>
  <c r="V209" i="7"/>
  <c r="N209" i="7"/>
  <c r="N43" i="7"/>
  <c r="V43" i="7"/>
  <c r="N72" i="7"/>
  <c r="V72" i="7"/>
  <c r="V73" i="7"/>
  <c r="N73" i="7"/>
  <c r="I124" i="7"/>
  <c r="O124" i="7" s="1"/>
  <c r="I123" i="7"/>
  <c r="O123" i="7" s="1"/>
  <c r="I122" i="7"/>
  <c r="O122" i="7" s="1"/>
  <c r="I121" i="7"/>
  <c r="O121" i="7" s="1"/>
  <c r="I120" i="7"/>
  <c r="O120" i="7" s="1"/>
  <c r="I119" i="7"/>
  <c r="O119" i="7" s="1"/>
  <c r="I24" i="7"/>
  <c r="O24" i="7" s="1"/>
  <c r="N115" i="7"/>
  <c r="V115" i="7"/>
  <c r="N45" i="7"/>
  <c r="V45" i="7"/>
  <c r="N223" i="7"/>
  <c r="V223" i="7"/>
  <c r="N6" i="7"/>
  <c r="V6" i="7"/>
  <c r="N187" i="7"/>
  <c r="V187" i="7"/>
  <c r="N75" i="7"/>
  <c r="V75" i="7"/>
  <c r="N79" i="7"/>
  <c r="V79" i="7"/>
  <c r="N67" i="7"/>
  <c r="V67" i="7"/>
  <c r="V125" i="7"/>
  <c r="N125" i="7"/>
  <c r="V129" i="7"/>
  <c r="N129" i="7"/>
  <c r="V133" i="7"/>
  <c r="N133" i="7"/>
  <c r="N250" i="7"/>
  <c r="V250" i="7"/>
  <c r="N252" i="7"/>
  <c r="V252" i="7"/>
  <c r="V241" i="7"/>
  <c r="N241" i="7"/>
  <c r="V245" i="7"/>
  <c r="N245" i="7"/>
  <c r="N204" i="7"/>
  <c r="V204" i="7"/>
  <c r="N42" i="7"/>
  <c r="V42" i="7"/>
  <c r="N228" i="7"/>
  <c r="V228" i="7"/>
  <c r="V24" i="7"/>
  <c r="N24" i="7"/>
  <c r="N122" i="7"/>
  <c r="V122" i="7"/>
  <c r="N208" i="7"/>
  <c r="V208" i="7"/>
  <c r="N210" i="7"/>
  <c r="V210" i="7"/>
  <c r="N74" i="7"/>
  <c r="V74" i="7"/>
  <c r="N7" i="7"/>
  <c r="V7" i="7"/>
  <c r="F81" i="2"/>
  <c r="F79" i="2"/>
  <c r="F78" i="2"/>
  <c r="I81" i="2"/>
  <c r="O81" i="2" s="1"/>
  <c r="F76" i="2"/>
  <c r="I76" i="2"/>
  <c r="O76" i="2" s="1"/>
  <c r="F69" i="2"/>
  <c r="F68" i="2"/>
  <c r="F67" i="2"/>
  <c r="I69" i="2"/>
  <c r="O69" i="2" s="1"/>
  <c r="I68" i="2"/>
  <c r="O68" i="2" s="1"/>
  <c r="I67" i="2"/>
  <c r="H48" i="2" s="1"/>
  <c r="F60" i="2"/>
  <c r="F59" i="2"/>
  <c r="F54" i="2"/>
  <c r="F53" i="2"/>
  <c r="F52" i="2"/>
  <c r="I60" i="2"/>
  <c r="O60" i="2" s="1"/>
  <c r="I59" i="2"/>
  <c r="I54" i="2"/>
  <c r="O54" i="2" s="1"/>
  <c r="I53" i="2"/>
  <c r="O53" i="2" s="1"/>
  <c r="I52" i="2"/>
  <c r="O52" i="2" s="1"/>
  <c r="F43" i="2"/>
  <c r="F42" i="2"/>
  <c r="I43" i="2"/>
  <c r="O43" i="2" s="1"/>
  <c r="I42" i="2"/>
  <c r="O42" i="2" s="1"/>
  <c r="H41" i="2"/>
  <c r="N41" i="2" s="1"/>
  <c r="H40" i="2"/>
  <c r="N40" i="2" s="1"/>
  <c r="H39" i="2"/>
  <c r="N39" i="2" s="1"/>
  <c r="F38" i="2"/>
  <c r="I38" i="2"/>
  <c r="O38" i="2" s="1"/>
  <c r="H37" i="2"/>
  <c r="N37" i="2" s="1"/>
  <c r="H36" i="2"/>
  <c r="N36" i="2" s="1"/>
  <c r="H35" i="2"/>
  <c r="N35" i="2" s="1"/>
  <c r="H34" i="2"/>
  <c r="N34" i="2" s="1"/>
  <c r="I33" i="2"/>
  <c r="O33" i="2" s="1"/>
  <c r="I32" i="2"/>
  <c r="O32" i="2" s="1"/>
  <c r="F33" i="2"/>
  <c r="F32" i="2"/>
  <c r="I31" i="2"/>
  <c r="O31" i="2" s="1"/>
  <c r="I30" i="2"/>
  <c r="O30" i="2" s="1"/>
  <c r="I29" i="2"/>
  <c r="O29" i="2" s="1"/>
  <c r="F31" i="2"/>
  <c r="F30" i="2"/>
  <c r="F29" i="2"/>
  <c r="F24" i="2"/>
  <c r="I24" i="2"/>
  <c r="O24" i="2" s="1"/>
  <c r="I11" i="2"/>
  <c r="O11" i="2" s="1"/>
  <c r="I10" i="2"/>
  <c r="I9" i="2"/>
  <c r="O9" i="2" s="1"/>
  <c r="F11" i="2"/>
  <c r="F10" i="2"/>
  <c r="H10" i="2"/>
  <c r="N10" i="2" s="1"/>
  <c r="H11" i="2"/>
  <c r="N11" i="2" s="1"/>
  <c r="M13" i="2"/>
  <c r="V13" i="2"/>
  <c r="M20" i="2"/>
  <c r="V20" i="2"/>
  <c r="H24" i="2"/>
  <c r="N24" i="2" s="1"/>
  <c r="M24" i="2"/>
  <c r="H29" i="2"/>
  <c r="N29" i="2" s="1"/>
  <c r="M29" i="2"/>
  <c r="H30" i="2"/>
  <c r="N30" i="2" s="1"/>
  <c r="H31" i="2"/>
  <c r="N31" i="2" s="1"/>
  <c r="H32" i="2"/>
  <c r="N32" i="2" s="1"/>
  <c r="H33" i="2"/>
  <c r="N33" i="2" s="1"/>
  <c r="M34" i="2"/>
  <c r="M35" i="2"/>
  <c r="M36" i="2"/>
  <c r="M37" i="2"/>
  <c r="H38" i="2"/>
  <c r="N38" i="2" s="1"/>
  <c r="M38" i="2"/>
  <c r="H42" i="2"/>
  <c r="N42" i="2" s="1"/>
  <c r="H43" i="2"/>
  <c r="N43" i="2" s="1"/>
  <c r="M43" i="2"/>
  <c r="H52" i="2"/>
  <c r="N52" i="2" s="1"/>
  <c r="M52" i="2"/>
  <c r="O67" i="2" l="1"/>
  <c r="H73" i="2"/>
  <c r="H63" i="2"/>
  <c r="H85" i="2"/>
  <c r="H5" i="2"/>
  <c r="O59" i="2"/>
  <c r="H64" i="2"/>
  <c r="H86" i="2"/>
  <c r="H6" i="2"/>
  <c r="H74" i="2"/>
  <c r="H49" i="2"/>
  <c r="H72" i="2"/>
  <c r="H84" i="2"/>
  <c r="H4" i="2"/>
  <c r="H47" i="2"/>
  <c r="H62" i="2"/>
  <c r="O10" i="2"/>
  <c r="O6" i="7"/>
  <c r="H3" i="2"/>
  <c r="H46" i="2"/>
  <c r="N46" i="2" s="1"/>
  <c r="H61" i="2"/>
  <c r="N61" i="2" s="1"/>
  <c r="H71" i="2"/>
  <c r="N71" i="2" s="1"/>
  <c r="H83" i="2"/>
  <c r="N83" i="2" s="1"/>
  <c r="V30" i="2"/>
  <c r="V31" i="2"/>
  <c r="V52" i="2"/>
  <c r="V42" i="2"/>
  <c r="V24" i="2"/>
  <c r="V10" i="2"/>
  <c r="V43" i="2"/>
  <c r="V38" i="2"/>
  <c r="V32" i="2"/>
  <c r="V11" i="2"/>
  <c r="V33" i="2"/>
  <c r="V29" i="2"/>
  <c r="F82" i="2"/>
  <c r="F77" i="2"/>
  <c r="F70" i="2"/>
  <c r="F66" i="2"/>
  <c r="F51" i="2"/>
  <c r="F50" i="2"/>
  <c r="F46" i="2"/>
  <c r="F45" i="2"/>
  <c r="F44" i="2"/>
  <c r="F28" i="2"/>
  <c r="I27" i="2"/>
  <c r="O27" i="2" s="1"/>
  <c r="I26" i="2"/>
  <c r="O26" i="2" s="1"/>
  <c r="F25" i="2"/>
  <c r="I25" i="2" s="1"/>
  <c r="O25" i="2" s="1"/>
  <c r="F23" i="2"/>
  <c r="F22" i="2"/>
  <c r="F8" i="2"/>
  <c r="F26" i="2"/>
  <c r="N47" i="2" l="1"/>
  <c r="V47" i="2"/>
  <c r="I47" i="2"/>
  <c r="O47" i="2" s="1"/>
  <c r="V49" i="2"/>
  <c r="N49" i="2"/>
  <c r="I49" i="2"/>
  <c r="O49" i="2" s="1"/>
  <c r="V64" i="2"/>
  <c r="N64" i="2"/>
  <c r="I64" i="2"/>
  <c r="O64" i="2" s="1"/>
  <c r="V85" i="2"/>
  <c r="I85" i="2"/>
  <c r="O85" i="2" s="1"/>
  <c r="N85" i="2"/>
  <c r="N4" i="2"/>
  <c r="V4" i="2"/>
  <c r="I4" i="2"/>
  <c r="O4" i="2" s="1"/>
  <c r="N74" i="2"/>
  <c r="I74" i="2"/>
  <c r="O74" i="2" s="1"/>
  <c r="V74" i="2"/>
  <c r="V63" i="2"/>
  <c r="N63" i="2"/>
  <c r="I63" i="2"/>
  <c r="O63" i="2" s="1"/>
  <c r="V84" i="2"/>
  <c r="I84" i="2"/>
  <c r="O84" i="2" s="1"/>
  <c r="N84" i="2"/>
  <c r="V6" i="2"/>
  <c r="I6" i="2"/>
  <c r="O6" i="2" s="1"/>
  <c r="N6" i="2"/>
  <c r="V48" i="2"/>
  <c r="N48" i="2"/>
  <c r="I48" i="2"/>
  <c r="O48" i="2" s="1"/>
  <c r="N73" i="2"/>
  <c r="I73" i="2"/>
  <c r="O73" i="2" s="1"/>
  <c r="V73" i="2"/>
  <c r="V62" i="2"/>
  <c r="N62" i="2"/>
  <c r="I62" i="2"/>
  <c r="O62" i="2" s="1"/>
  <c r="N72" i="2"/>
  <c r="I72" i="2"/>
  <c r="O72" i="2" s="1"/>
  <c r="V72" i="2"/>
  <c r="V86" i="2"/>
  <c r="N86" i="2"/>
  <c r="I86" i="2"/>
  <c r="O86" i="2" s="1"/>
  <c r="V5" i="2"/>
  <c r="N5" i="2"/>
  <c r="I5" i="2"/>
  <c r="O5" i="2" s="1"/>
  <c r="I8" i="2"/>
  <c r="O8" i="2" s="1"/>
  <c r="I22" i="2"/>
  <c r="O22" i="2" s="1"/>
  <c r="F27" i="2"/>
  <c r="I45" i="2"/>
  <c r="O45" i="2" s="1"/>
  <c r="F9" i="2"/>
  <c r="I28" i="2"/>
  <c r="O28" i="2" s="1"/>
  <c r="I44" i="2"/>
  <c r="O44" i="2" s="1"/>
  <c r="I70" i="2"/>
  <c r="O70" i="2" s="1"/>
  <c r="I77" i="2"/>
  <c r="O77" i="2" s="1"/>
  <c r="I82" i="2"/>
  <c r="O82" i="2" s="1"/>
  <c r="I23" i="2"/>
  <c r="O23" i="2" s="1"/>
  <c r="M87" i="2" l="1"/>
  <c r="M83" i="2"/>
  <c r="M82" i="2"/>
  <c r="H82" i="2"/>
  <c r="N82" i="2" s="1"/>
  <c r="M77" i="2"/>
  <c r="H77" i="2"/>
  <c r="N77" i="2" s="1"/>
  <c r="M70" i="2"/>
  <c r="H70" i="2"/>
  <c r="V66" i="2"/>
  <c r="M66" i="2"/>
  <c r="I66" i="2"/>
  <c r="O66" i="2" s="1"/>
  <c r="M65" i="2"/>
  <c r="M61" i="2"/>
  <c r="V51" i="2"/>
  <c r="M51" i="2"/>
  <c r="I51" i="2"/>
  <c r="O51" i="2" s="1"/>
  <c r="M50" i="2"/>
  <c r="M46" i="2"/>
  <c r="H45" i="2"/>
  <c r="M44" i="2"/>
  <c r="V44" i="2"/>
  <c r="M28" i="2"/>
  <c r="H28" i="2"/>
  <c r="M27" i="2"/>
  <c r="H27" i="2"/>
  <c r="N27" i="2" s="1"/>
  <c r="M26" i="2"/>
  <c r="V26" i="2"/>
  <c r="M23" i="2"/>
  <c r="H23" i="2"/>
  <c r="M22" i="2"/>
  <c r="H22" i="2"/>
  <c r="N22" i="2" s="1"/>
  <c r="V21" i="2"/>
  <c r="M21" i="2"/>
  <c r="V14" i="2"/>
  <c r="M14" i="2"/>
  <c r="V25" i="2"/>
  <c r="M25" i="2"/>
  <c r="H9" i="2"/>
  <c r="N9" i="2" s="1"/>
  <c r="M8" i="2"/>
  <c r="H8" i="2"/>
  <c r="N8" i="2" s="1"/>
  <c r="M7" i="2"/>
  <c r="M3" i="2"/>
  <c r="V70" i="2" l="1"/>
  <c r="N70" i="2"/>
  <c r="V28" i="2"/>
  <c r="N28" i="2"/>
  <c r="V45" i="2"/>
  <c r="N45" i="2"/>
  <c r="V23" i="2"/>
  <c r="N23" i="2"/>
  <c r="V82" i="2"/>
  <c r="V27" i="2"/>
  <c r="V9" i="2"/>
  <c r="V8" i="2"/>
  <c r="V22" i="2"/>
  <c r="V77" i="2"/>
  <c r="E29" i="1" l="1"/>
  <c r="H274" i="7" l="1"/>
  <c r="H273" i="7"/>
  <c r="H272" i="7"/>
  <c r="H271" i="7"/>
  <c r="H270" i="7"/>
  <c r="H269" i="7"/>
  <c r="H59" i="7"/>
  <c r="F29" i="1"/>
  <c r="DI45" i="1"/>
  <c r="DJ45" i="1"/>
  <c r="DK45" i="1"/>
  <c r="DI46" i="1"/>
  <c r="DJ46" i="1"/>
  <c r="DK46" i="1"/>
  <c r="DI47" i="1"/>
  <c r="DI48" i="1"/>
  <c r="DI49" i="1"/>
  <c r="DJ49" i="1"/>
  <c r="DK49" i="1"/>
  <c r="AX48" i="1"/>
  <c r="AZ48" i="1" s="1"/>
  <c r="AX47" i="1"/>
  <c r="AZ47" i="1" s="1"/>
  <c r="AK48" i="1"/>
  <c r="AM48" i="1" s="1"/>
  <c r="AK47" i="1"/>
  <c r="AM47" i="1" s="1"/>
  <c r="AV42" i="5"/>
  <c r="AV43" i="5"/>
  <c r="AW43" i="5"/>
  <c r="AX43" i="5"/>
  <c r="AV44" i="5"/>
  <c r="AW44" i="5"/>
  <c r="AX44" i="5"/>
  <c r="AV45" i="5"/>
  <c r="AW45" i="5"/>
  <c r="AX45" i="5"/>
  <c r="AV46" i="5"/>
  <c r="AW46" i="5"/>
  <c r="AX46" i="5"/>
  <c r="AV47" i="5"/>
  <c r="AW47" i="5"/>
  <c r="AX47" i="5"/>
  <c r="AV48" i="5"/>
  <c r="AW48" i="5"/>
  <c r="AX48" i="5"/>
  <c r="Y46" i="5"/>
  <c r="AA46" i="5" s="1"/>
  <c r="AA45" i="5"/>
  <c r="Y45" i="5"/>
  <c r="V46" i="5"/>
  <c r="T46" i="5"/>
  <c r="V45" i="5"/>
  <c r="T45" i="5"/>
  <c r="DK48" i="1" l="1"/>
  <c r="N59" i="7"/>
  <c r="V59" i="7"/>
  <c r="N272" i="7"/>
  <c r="V272" i="7"/>
  <c r="V269" i="7"/>
  <c r="N269" i="7"/>
  <c r="V273" i="7"/>
  <c r="N273" i="7"/>
  <c r="I272" i="7"/>
  <c r="O272" i="7" s="1"/>
  <c r="I273" i="7"/>
  <c r="O273" i="7" s="1"/>
  <c r="I269" i="7"/>
  <c r="O269" i="7" s="1"/>
  <c r="I274" i="7"/>
  <c r="O274" i="7" s="1"/>
  <c r="I270" i="7"/>
  <c r="O270" i="7" s="1"/>
  <c r="I59" i="7"/>
  <c r="O59" i="7" s="1"/>
  <c r="I271" i="7"/>
  <c r="O271" i="7" s="1"/>
  <c r="N271" i="7"/>
  <c r="V271" i="7"/>
  <c r="N270" i="7"/>
  <c r="V270" i="7"/>
  <c r="V274" i="7"/>
  <c r="N274" i="7"/>
  <c r="DK47" i="1"/>
  <c r="DJ47" i="1"/>
  <c r="I79" i="2"/>
  <c r="O79" i="2" s="1"/>
  <c r="DJ48" i="1"/>
  <c r="M81" i="2"/>
  <c r="M79" i="2"/>
  <c r="M76" i="2"/>
  <c r="M54" i="2"/>
  <c r="H67" i="2" l="1"/>
  <c r="N67" i="2" s="1"/>
  <c r="H69" i="2"/>
  <c r="N69" i="2" s="1"/>
  <c r="H68" i="2"/>
  <c r="N68" i="2" s="1"/>
  <c r="H60" i="2"/>
  <c r="N60" i="2" s="1"/>
  <c r="H59" i="2"/>
  <c r="N59" i="2" s="1"/>
  <c r="H53" i="2"/>
  <c r="N53" i="2" s="1"/>
  <c r="H81" i="2"/>
  <c r="N81" i="2" s="1"/>
  <c r="H54" i="2"/>
  <c r="N54" i="2" s="1"/>
  <c r="H76" i="2"/>
  <c r="N76" i="2" s="1"/>
  <c r="V54" i="2" l="1"/>
  <c r="V59" i="2"/>
  <c r="V76" i="2"/>
  <c r="V68" i="2"/>
  <c r="V53" i="2"/>
  <c r="V81" i="2"/>
  <c r="V60" i="2"/>
  <c r="V67" i="2"/>
  <c r="V69" i="2"/>
  <c r="D18" i="1"/>
  <c r="D31" i="1"/>
  <c r="E30" i="1"/>
  <c r="E31" i="1"/>
  <c r="AV56" i="5"/>
  <c r="Y56" i="5"/>
  <c r="AA56" i="5" s="1"/>
  <c r="AX56" i="5" s="1"/>
  <c r="AW55" i="5"/>
  <c r="AV55" i="5"/>
  <c r="AA55" i="5"/>
  <c r="AX55" i="5" s="1"/>
  <c r="Y55" i="5"/>
  <c r="AX54" i="5"/>
  <c r="AV54" i="5"/>
  <c r="J54" i="5"/>
  <c r="AW54" i="5" s="1"/>
  <c r="AQ53" i="5"/>
  <c r="AL53" i="5"/>
  <c r="AG53" i="5"/>
  <c r="AB53" i="5"/>
  <c r="W53" i="5"/>
  <c r="R53" i="5"/>
  <c r="M53" i="5"/>
  <c r="H53" i="5"/>
  <c r="F53" i="5"/>
  <c r="AV52" i="5"/>
  <c r="AU52" i="5"/>
  <c r="AS52" i="5"/>
  <c r="AN52" i="5"/>
  <c r="AP52" i="5" s="1"/>
  <c r="AK52" i="5"/>
  <c r="AI52" i="5"/>
  <c r="AD52" i="5"/>
  <c r="AF52" i="5" s="1"/>
  <c r="AA52" i="5"/>
  <c r="Y52" i="5"/>
  <c r="T52" i="5"/>
  <c r="V52" i="5" s="1"/>
  <c r="Q52" i="5"/>
  <c r="O52" i="5"/>
  <c r="J52" i="5"/>
  <c r="AW52" i="5" s="1"/>
  <c r="AV51" i="5"/>
  <c r="AU51" i="5"/>
  <c r="AS51" i="5"/>
  <c r="AN51" i="5"/>
  <c r="AP51" i="5" s="1"/>
  <c r="AK51" i="5"/>
  <c r="AI51" i="5"/>
  <c r="AD51" i="5"/>
  <c r="AF51" i="5" s="1"/>
  <c r="AA51" i="5"/>
  <c r="Y51" i="5"/>
  <c r="T51" i="5"/>
  <c r="V51" i="5" s="1"/>
  <c r="Q51" i="5"/>
  <c r="O51" i="5"/>
  <c r="J51" i="5"/>
  <c r="AW51" i="5" s="1"/>
  <c r="AV50" i="5"/>
  <c r="AU50" i="5"/>
  <c r="AS50" i="5"/>
  <c r="AN50" i="5"/>
  <c r="AP50" i="5" s="1"/>
  <c r="AK50" i="5"/>
  <c r="AI50" i="5"/>
  <c r="AD50" i="5"/>
  <c r="AF50" i="5" s="1"/>
  <c r="AA50" i="5"/>
  <c r="Y50" i="5"/>
  <c r="T50" i="5"/>
  <c r="V50" i="5" s="1"/>
  <c r="Q50" i="5"/>
  <c r="O50" i="5"/>
  <c r="J50" i="5"/>
  <c r="AW50" i="5" s="1"/>
  <c r="AV49" i="5"/>
  <c r="AS49" i="5"/>
  <c r="AU49" i="5" s="1"/>
  <c r="AN49" i="5"/>
  <c r="AP49" i="5" s="1"/>
  <c r="AI49" i="5"/>
  <c r="AK49" i="5" s="1"/>
  <c r="AD49" i="5"/>
  <c r="AF49" i="5" s="1"/>
  <c r="Y49" i="5"/>
  <c r="AA49" i="5" s="1"/>
  <c r="T49" i="5"/>
  <c r="V49" i="5" s="1"/>
  <c r="O49" i="5"/>
  <c r="Q49" i="5" s="1"/>
  <c r="J49" i="5"/>
  <c r="AW49" i="5" s="1"/>
  <c r="AS48" i="5"/>
  <c r="AU48" i="5" s="1"/>
  <c r="AN48" i="5"/>
  <c r="AP48" i="5" s="1"/>
  <c r="AI48" i="5"/>
  <c r="AK48" i="5" s="1"/>
  <c r="AD48" i="5"/>
  <c r="AF48" i="5" s="1"/>
  <c r="Y48" i="5"/>
  <c r="AA48" i="5" s="1"/>
  <c r="T48" i="5"/>
  <c r="V48" i="5" s="1"/>
  <c r="O48" i="5"/>
  <c r="Q48" i="5" s="1"/>
  <c r="J48" i="5"/>
  <c r="AU42" i="5"/>
  <c r="AS42" i="5"/>
  <c r="AN42" i="5"/>
  <c r="AP42" i="5" s="1"/>
  <c r="AK42" i="5"/>
  <c r="AI42" i="5"/>
  <c r="AD42" i="5"/>
  <c r="AF42" i="5" s="1"/>
  <c r="AA42" i="5"/>
  <c r="Y42" i="5"/>
  <c r="T42" i="5"/>
  <c r="V42" i="5" s="1"/>
  <c r="Q42" i="5"/>
  <c r="O42" i="5"/>
  <c r="J42" i="5"/>
  <c r="AW42" i="5" s="1"/>
  <c r="AV41" i="5"/>
  <c r="AU41" i="5"/>
  <c r="AS41" i="5"/>
  <c r="AN41" i="5"/>
  <c r="AP41" i="5" s="1"/>
  <c r="AK41" i="5"/>
  <c r="AI41" i="5"/>
  <c r="AD41" i="5"/>
  <c r="AF41" i="5" s="1"/>
  <c r="AA41" i="5"/>
  <c r="Y41" i="5"/>
  <c r="T41" i="5"/>
  <c r="V41" i="5" s="1"/>
  <c r="Q41" i="5"/>
  <c r="O41" i="5"/>
  <c r="J41" i="5"/>
  <c r="AW41" i="5" s="1"/>
  <c r="AV40" i="5"/>
  <c r="AU40" i="5"/>
  <c r="AS40" i="5"/>
  <c r="AN40" i="5"/>
  <c r="AP40" i="5" s="1"/>
  <c r="AK40" i="5"/>
  <c r="AI40" i="5"/>
  <c r="AD40" i="5"/>
  <c r="AF40" i="5" s="1"/>
  <c r="AA40" i="5"/>
  <c r="Y40" i="5"/>
  <c r="T40" i="5"/>
  <c r="V40" i="5" s="1"/>
  <c r="Q40" i="5"/>
  <c r="O40" i="5"/>
  <c r="J40" i="5"/>
  <c r="AW40" i="5" s="1"/>
  <c r="AV39" i="5"/>
  <c r="AU39" i="5"/>
  <c r="AS39" i="5"/>
  <c r="AN39" i="5"/>
  <c r="AP39" i="5" s="1"/>
  <c r="AK39" i="5"/>
  <c r="AI39" i="5"/>
  <c r="AD39" i="5"/>
  <c r="AF39" i="5" s="1"/>
  <c r="AA39" i="5"/>
  <c r="Y39" i="5"/>
  <c r="T39" i="5"/>
  <c r="V39" i="5" s="1"/>
  <c r="Q39" i="5"/>
  <c r="O39" i="5"/>
  <c r="J39" i="5"/>
  <c r="AW39" i="5" s="1"/>
  <c r="AV38" i="5"/>
  <c r="AU38" i="5"/>
  <c r="AS38" i="5"/>
  <c r="AN38" i="5"/>
  <c r="AP38" i="5" s="1"/>
  <c r="AK38" i="5"/>
  <c r="AI38" i="5"/>
  <c r="AD38" i="5"/>
  <c r="AF38" i="5" s="1"/>
  <c r="AA38" i="5"/>
  <c r="Y38" i="5"/>
  <c r="T38" i="5"/>
  <c r="V38" i="5" s="1"/>
  <c r="Q38" i="5"/>
  <c r="O38" i="5"/>
  <c r="J38" i="5"/>
  <c r="AV37" i="5"/>
  <c r="AU37" i="5"/>
  <c r="AS37" i="5"/>
  <c r="AN37" i="5"/>
  <c r="AP37" i="5" s="1"/>
  <c r="AK37" i="5"/>
  <c r="AI37" i="5"/>
  <c r="AD37" i="5"/>
  <c r="AF37" i="5" s="1"/>
  <c r="AA37" i="5"/>
  <c r="Y37" i="5"/>
  <c r="T37" i="5"/>
  <c r="V37" i="5" s="1"/>
  <c r="Q37" i="5"/>
  <c r="O37" i="5"/>
  <c r="J37" i="5"/>
  <c r="AV36" i="5"/>
  <c r="AU36" i="5"/>
  <c r="AS36" i="5"/>
  <c r="AN36" i="5"/>
  <c r="AP36" i="5" s="1"/>
  <c r="AK36" i="5"/>
  <c r="AI36" i="5"/>
  <c r="AD36" i="5"/>
  <c r="AF36" i="5" s="1"/>
  <c r="AA36" i="5"/>
  <c r="Y36" i="5"/>
  <c r="V36" i="5"/>
  <c r="T36" i="5"/>
  <c r="Q36" i="5"/>
  <c r="O36" i="5"/>
  <c r="L36" i="5"/>
  <c r="J36" i="5"/>
  <c r="AW36" i="5" s="1"/>
  <c r="AW35" i="5"/>
  <c r="AV35" i="5"/>
  <c r="AU35" i="5"/>
  <c r="AS35" i="5"/>
  <c r="AP35" i="5"/>
  <c r="AN35" i="5"/>
  <c r="AK35" i="5"/>
  <c r="AI35" i="5"/>
  <c r="AF35" i="5"/>
  <c r="AD35" i="5"/>
  <c r="AA35" i="5"/>
  <c r="Y35" i="5"/>
  <c r="V35" i="5"/>
  <c r="T35" i="5"/>
  <c r="Q35" i="5"/>
  <c r="O35" i="5"/>
  <c r="L35" i="5"/>
  <c r="J35" i="5"/>
  <c r="AV34" i="5"/>
  <c r="AU34" i="5"/>
  <c r="AS34" i="5"/>
  <c r="AN34" i="5"/>
  <c r="AP34" i="5" s="1"/>
  <c r="AK34" i="5"/>
  <c r="AI34" i="5"/>
  <c r="AD34" i="5"/>
  <c r="AF34" i="5" s="1"/>
  <c r="AA34" i="5"/>
  <c r="Y34" i="5"/>
  <c r="T34" i="5"/>
  <c r="V34" i="5" s="1"/>
  <c r="Q34" i="5"/>
  <c r="O34" i="5"/>
  <c r="J34" i="5"/>
  <c r="AW34" i="5" s="1"/>
  <c r="AW33" i="5"/>
  <c r="AV33" i="5"/>
  <c r="AU33" i="5"/>
  <c r="AS33" i="5"/>
  <c r="AP33" i="5"/>
  <c r="AN33" i="5"/>
  <c r="AK33" i="5"/>
  <c r="AI33" i="5"/>
  <c r="AF33" i="5"/>
  <c r="AD33" i="5"/>
  <c r="AA33" i="5"/>
  <c r="Y33" i="5"/>
  <c r="V33" i="5"/>
  <c r="T33" i="5"/>
  <c r="Q33" i="5"/>
  <c r="O33" i="5"/>
  <c r="L33" i="5"/>
  <c r="J33" i="5"/>
  <c r="AV32" i="5"/>
  <c r="AU32" i="5"/>
  <c r="AS32" i="5"/>
  <c r="AN32" i="5"/>
  <c r="AP32" i="5" s="1"/>
  <c r="AK32" i="5"/>
  <c r="AI32" i="5"/>
  <c r="AD32" i="5"/>
  <c r="AF32" i="5" s="1"/>
  <c r="AA32" i="5"/>
  <c r="Y32" i="5"/>
  <c r="T32" i="5"/>
  <c r="V32" i="5" s="1"/>
  <c r="Q32" i="5"/>
  <c r="O32" i="5"/>
  <c r="J32" i="5"/>
  <c r="AW32" i="5" s="1"/>
  <c r="AW31" i="5"/>
  <c r="AV31" i="5"/>
  <c r="AU31" i="5"/>
  <c r="AS31" i="5"/>
  <c r="AP31" i="5"/>
  <c r="AN31" i="5"/>
  <c r="AK31" i="5"/>
  <c r="AI31" i="5"/>
  <c r="AF31" i="5"/>
  <c r="AD31" i="5"/>
  <c r="AA31" i="5"/>
  <c r="Y31" i="5"/>
  <c r="V31" i="5"/>
  <c r="T31" i="5"/>
  <c r="Q31" i="5"/>
  <c r="O31" i="5"/>
  <c r="L31" i="5"/>
  <c r="J31" i="5"/>
  <c r="AX30" i="5"/>
  <c r="AV29" i="5"/>
  <c r="AS29" i="5"/>
  <c r="AU29" i="5" s="1"/>
  <c r="AN29" i="5"/>
  <c r="AP29" i="5" s="1"/>
  <c r="AI29" i="5"/>
  <c r="AK29" i="5" s="1"/>
  <c r="AD29" i="5"/>
  <c r="AF29" i="5" s="1"/>
  <c r="Y29" i="5"/>
  <c r="AA29" i="5" s="1"/>
  <c r="T29" i="5"/>
  <c r="V29" i="5" s="1"/>
  <c r="O29" i="5"/>
  <c r="Q29" i="5" s="1"/>
  <c r="L29" i="5"/>
  <c r="J29" i="5"/>
  <c r="AV28" i="5"/>
  <c r="AS28" i="5"/>
  <c r="AU28" i="5" s="1"/>
  <c r="AP28" i="5"/>
  <c r="AN28" i="5"/>
  <c r="AI28" i="5"/>
  <c r="AK28" i="5" s="1"/>
  <c r="AD28" i="5"/>
  <c r="AF28" i="5" s="1"/>
  <c r="Y28" i="5"/>
  <c r="AA28" i="5" s="1"/>
  <c r="T28" i="5"/>
  <c r="V28" i="5" s="1"/>
  <c r="O28" i="5"/>
  <c r="Q28" i="5" s="1"/>
  <c r="J28" i="5"/>
  <c r="AV27" i="5"/>
  <c r="AS27" i="5"/>
  <c r="AU27" i="5" s="1"/>
  <c r="AN27" i="5"/>
  <c r="AP27" i="5" s="1"/>
  <c r="AI27" i="5"/>
  <c r="AK27" i="5" s="1"/>
  <c r="AD27" i="5"/>
  <c r="AF27" i="5" s="1"/>
  <c r="Y27" i="5"/>
  <c r="AA27" i="5" s="1"/>
  <c r="T27" i="5"/>
  <c r="O27" i="5"/>
  <c r="Q27" i="5" s="1"/>
  <c r="J27" i="5"/>
  <c r="L27" i="5" s="1"/>
  <c r="AV26" i="5"/>
  <c r="AS26" i="5"/>
  <c r="AU26" i="5" s="1"/>
  <c r="AN26" i="5"/>
  <c r="AP26" i="5" s="1"/>
  <c r="AI26" i="5"/>
  <c r="AK26" i="5" s="1"/>
  <c r="AD26" i="5"/>
  <c r="AF26" i="5" s="1"/>
  <c r="Y26" i="5"/>
  <c r="AA26" i="5" s="1"/>
  <c r="V26" i="5"/>
  <c r="T26" i="5"/>
  <c r="O26" i="5"/>
  <c r="Q26" i="5" s="1"/>
  <c r="J26" i="5"/>
  <c r="AV25" i="5"/>
  <c r="AS25" i="5"/>
  <c r="AU25" i="5" s="1"/>
  <c r="AN25" i="5"/>
  <c r="AP25" i="5" s="1"/>
  <c r="AI25" i="5"/>
  <c r="AK25" i="5" s="1"/>
  <c r="AD25" i="5"/>
  <c r="AF25" i="5" s="1"/>
  <c r="Y25" i="5"/>
  <c r="AA25" i="5" s="1"/>
  <c r="T25" i="5"/>
  <c r="V25" i="5" s="1"/>
  <c r="O25" i="5"/>
  <c r="Q25" i="5" s="1"/>
  <c r="L25" i="5"/>
  <c r="J25" i="5"/>
  <c r="AV24" i="5"/>
  <c r="AS24" i="5"/>
  <c r="AU24" i="5" s="1"/>
  <c r="AP24" i="5"/>
  <c r="AN24" i="5"/>
  <c r="AI24" i="5"/>
  <c r="AK24" i="5" s="1"/>
  <c r="AD24" i="5"/>
  <c r="AF24" i="5" s="1"/>
  <c r="Y24" i="5"/>
  <c r="AA24" i="5" s="1"/>
  <c r="T24" i="5"/>
  <c r="V24" i="5" s="1"/>
  <c r="O24" i="5"/>
  <c r="Q24" i="5" s="1"/>
  <c r="J24" i="5"/>
  <c r="AW24" i="5" s="1"/>
  <c r="AV23" i="5"/>
  <c r="AS23" i="5"/>
  <c r="AU23" i="5" s="1"/>
  <c r="AN23" i="5"/>
  <c r="AP23" i="5" s="1"/>
  <c r="AI23" i="5"/>
  <c r="AK23" i="5" s="1"/>
  <c r="AD23" i="5"/>
  <c r="AF23" i="5" s="1"/>
  <c r="Y23" i="5"/>
  <c r="AA23" i="5" s="1"/>
  <c r="T23" i="5"/>
  <c r="AW23" i="5" s="1"/>
  <c r="O23" i="5"/>
  <c r="Q23" i="5" s="1"/>
  <c r="J23" i="5"/>
  <c r="L23" i="5" s="1"/>
  <c r="AV22" i="5"/>
  <c r="AS22" i="5"/>
  <c r="AU22" i="5" s="1"/>
  <c r="AN22" i="5"/>
  <c r="AP22" i="5" s="1"/>
  <c r="AI22" i="5"/>
  <c r="AK22" i="5" s="1"/>
  <c r="AD22" i="5"/>
  <c r="AF22" i="5" s="1"/>
  <c r="Y22" i="5"/>
  <c r="AA22" i="5" s="1"/>
  <c r="T22" i="5"/>
  <c r="V22" i="5" s="1"/>
  <c r="O22" i="5"/>
  <c r="Q22" i="5" s="1"/>
  <c r="J22" i="5"/>
  <c r="AV21" i="5"/>
  <c r="AS21" i="5"/>
  <c r="AU21" i="5" s="1"/>
  <c r="AN21" i="5"/>
  <c r="AP21" i="5" s="1"/>
  <c r="AI21" i="5"/>
  <c r="AK21" i="5" s="1"/>
  <c r="AD21" i="5"/>
  <c r="AF21" i="5" s="1"/>
  <c r="Y21" i="5"/>
  <c r="AA21" i="5" s="1"/>
  <c r="T21" i="5"/>
  <c r="V21" i="5" s="1"/>
  <c r="O21" i="5"/>
  <c r="Q21" i="5" s="1"/>
  <c r="J21" i="5"/>
  <c r="AV20" i="5"/>
  <c r="AS20" i="5"/>
  <c r="AU20" i="5" s="1"/>
  <c r="AN20" i="5"/>
  <c r="AP20" i="5" s="1"/>
  <c r="AI20" i="5"/>
  <c r="AK20" i="5" s="1"/>
  <c r="AD20" i="5"/>
  <c r="AF20" i="5" s="1"/>
  <c r="Y20" i="5"/>
  <c r="AA20" i="5" s="1"/>
  <c r="T20" i="5"/>
  <c r="V20" i="5" s="1"/>
  <c r="O20" i="5"/>
  <c r="Q20" i="5" s="1"/>
  <c r="J20" i="5"/>
  <c r="AV19" i="5"/>
  <c r="AS19" i="5"/>
  <c r="AU19" i="5" s="1"/>
  <c r="AN19" i="5"/>
  <c r="AP19" i="5" s="1"/>
  <c r="AI19" i="5"/>
  <c r="AK19" i="5" s="1"/>
  <c r="AD19" i="5"/>
  <c r="AF19" i="5" s="1"/>
  <c r="Y19" i="5"/>
  <c r="AA19" i="5" s="1"/>
  <c r="T19" i="5"/>
  <c r="V19" i="5" s="1"/>
  <c r="O19" i="5"/>
  <c r="Q19" i="5" s="1"/>
  <c r="J19" i="5"/>
  <c r="AV18" i="5"/>
  <c r="AS18" i="5"/>
  <c r="AU18" i="5" s="1"/>
  <c r="AN18" i="5"/>
  <c r="AP18" i="5" s="1"/>
  <c r="AI18" i="5"/>
  <c r="AK18" i="5" s="1"/>
  <c r="AD18" i="5"/>
  <c r="AF18" i="5" s="1"/>
  <c r="Y18" i="5"/>
  <c r="AA18" i="5" s="1"/>
  <c r="T18" i="5"/>
  <c r="V18" i="5" s="1"/>
  <c r="O18" i="5"/>
  <c r="Q18" i="5" s="1"/>
  <c r="J18" i="5"/>
  <c r="AV17" i="5"/>
  <c r="AS17" i="5"/>
  <c r="AU17" i="5" s="1"/>
  <c r="AN17" i="5"/>
  <c r="AP17" i="5" s="1"/>
  <c r="AI17" i="5"/>
  <c r="AK17" i="5" s="1"/>
  <c r="AD17" i="5"/>
  <c r="AF17" i="5" s="1"/>
  <c r="Y17" i="5"/>
  <c r="AA17" i="5" s="1"/>
  <c r="T17" i="5"/>
  <c r="V17" i="5" s="1"/>
  <c r="O17" i="5"/>
  <c r="Q17" i="5" s="1"/>
  <c r="J17" i="5"/>
  <c r="AW17" i="5" s="1"/>
  <c r="AV16" i="5"/>
  <c r="AS16" i="5"/>
  <c r="AU16" i="5" s="1"/>
  <c r="AN16" i="5"/>
  <c r="AP16" i="5" s="1"/>
  <c r="AI16" i="5"/>
  <c r="AK16" i="5" s="1"/>
  <c r="AD16" i="5"/>
  <c r="AF16" i="5" s="1"/>
  <c r="Y16" i="5"/>
  <c r="AA16" i="5" s="1"/>
  <c r="T16" i="5"/>
  <c r="V16" i="5" s="1"/>
  <c r="O16" i="5"/>
  <c r="Q16" i="5" s="1"/>
  <c r="J16" i="5"/>
  <c r="AV15" i="5"/>
  <c r="AS15" i="5"/>
  <c r="AU15" i="5" s="1"/>
  <c r="AN15" i="5"/>
  <c r="AP15" i="5" s="1"/>
  <c r="AI15" i="5"/>
  <c r="AK15" i="5" s="1"/>
  <c r="AD15" i="5"/>
  <c r="AF15" i="5" s="1"/>
  <c r="Y15" i="5"/>
  <c r="AA15" i="5" s="1"/>
  <c r="T15" i="5"/>
  <c r="V15" i="5" s="1"/>
  <c r="O15" i="5"/>
  <c r="Q15" i="5" s="1"/>
  <c r="J15" i="5"/>
  <c r="AW15" i="5" s="1"/>
  <c r="AV14" i="5"/>
  <c r="AS14" i="5"/>
  <c r="AU14" i="5" s="1"/>
  <c r="AN14" i="5"/>
  <c r="AP14" i="5" s="1"/>
  <c r="AI14" i="5"/>
  <c r="AK14" i="5" s="1"/>
  <c r="AD14" i="5"/>
  <c r="AF14" i="5" s="1"/>
  <c r="Y14" i="5"/>
  <c r="AA14" i="5" s="1"/>
  <c r="T14" i="5"/>
  <c r="V14" i="5" s="1"/>
  <c r="O14" i="5"/>
  <c r="Q14" i="5" s="1"/>
  <c r="J14" i="5"/>
  <c r="AV13" i="5"/>
  <c r="AS13" i="5"/>
  <c r="AU13" i="5" s="1"/>
  <c r="AN13" i="5"/>
  <c r="AP13" i="5" s="1"/>
  <c r="AI13" i="5"/>
  <c r="AK13" i="5" s="1"/>
  <c r="AD13" i="5"/>
  <c r="AF13" i="5" s="1"/>
  <c r="Y13" i="5"/>
  <c r="AA13" i="5" s="1"/>
  <c r="T13" i="5"/>
  <c r="V13" i="5" s="1"/>
  <c r="O13" i="5"/>
  <c r="Q13" i="5" s="1"/>
  <c r="J13" i="5"/>
  <c r="AV12" i="5"/>
  <c r="AS12" i="5"/>
  <c r="AU12" i="5" s="1"/>
  <c r="AN12" i="5"/>
  <c r="AP12" i="5" s="1"/>
  <c r="AI12" i="5"/>
  <c r="AK12" i="5" s="1"/>
  <c r="AD12" i="5"/>
  <c r="AF12" i="5" s="1"/>
  <c r="Y12" i="5"/>
  <c r="AA12" i="5" s="1"/>
  <c r="T12" i="5"/>
  <c r="V12" i="5" s="1"/>
  <c r="O12" i="5"/>
  <c r="Q12" i="5" s="1"/>
  <c r="J12" i="5"/>
  <c r="AV11" i="5"/>
  <c r="AS11" i="5"/>
  <c r="AU11" i="5" s="1"/>
  <c r="AN11" i="5"/>
  <c r="AP11" i="5" s="1"/>
  <c r="AI11" i="5"/>
  <c r="AK11" i="5" s="1"/>
  <c r="AD11" i="5"/>
  <c r="AF11" i="5" s="1"/>
  <c r="Y11" i="5"/>
  <c r="AA11" i="5" s="1"/>
  <c r="T11" i="5"/>
  <c r="V11" i="5" s="1"/>
  <c r="O11" i="5"/>
  <c r="Q11" i="5" s="1"/>
  <c r="J11" i="5"/>
  <c r="AV10" i="5"/>
  <c r="AS10" i="5"/>
  <c r="AU10" i="5" s="1"/>
  <c r="AN10" i="5"/>
  <c r="AP10" i="5" s="1"/>
  <c r="AI10" i="5"/>
  <c r="AK10" i="5" s="1"/>
  <c r="AD10" i="5"/>
  <c r="AF10" i="5" s="1"/>
  <c r="Y10" i="5"/>
  <c r="AA10" i="5" s="1"/>
  <c r="T10" i="5"/>
  <c r="V10" i="5" s="1"/>
  <c r="O10" i="5"/>
  <c r="Q10" i="5" s="1"/>
  <c r="J10" i="5"/>
  <c r="AV9" i="5"/>
  <c r="AS9" i="5"/>
  <c r="AU9" i="5" s="1"/>
  <c r="AN9" i="5"/>
  <c r="AP9" i="5" s="1"/>
  <c r="AI9" i="5"/>
  <c r="AK9" i="5" s="1"/>
  <c r="AD9" i="5"/>
  <c r="AF9" i="5" s="1"/>
  <c r="Y9" i="5"/>
  <c r="AA9" i="5" s="1"/>
  <c r="T9" i="5"/>
  <c r="V9" i="5" s="1"/>
  <c r="Q9" i="5"/>
  <c r="O9" i="5"/>
  <c r="J9" i="5"/>
  <c r="AV8" i="5"/>
  <c r="AS8" i="5"/>
  <c r="AU8" i="5" s="1"/>
  <c r="AN8" i="5"/>
  <c r="AP8" i="5" s="1"/>
  <c r="AI8" i="5"/>
  <c r="AK8" i="5" s="1"/>
  <c r="AD8" i="5"/>
  <c r="AF8" i="5" s="1"/>
  <c r="AA8" i="5"/>
  <c r="Y8" i="5"/>
  <c r="T8" i="5"/>
  <c r="V8" i="5" s="1"/>
  <c r="O8" i="5"/>
  <c r="Q8" i="5" s="1"/>
  <c r="J8" i="5"/>
  <c r="AV7" i="5"/>
  <c r="AS7" i="5"/>
  <c r="AU7" i="5" s="1"/>
  <c r="AN7" i="5"/>
  <c r="AP7" i="5" s="1"/>
  <c r="AK7" i="5"/>
  <c r="AI7" i="5"/>
  <c r="AD7" i="5"/>
  <c r="AF7" i="5" s="1"/>
  <c r="Y7" i="5"/>
  <c r="AA7" i="5" s="1"/>
  <c r="T7" i="5"/>
  <c r="V7" i="5" s="1"/>
  <c r="O7" i="5"/>
  <c r="Q7" i="5" s="1"/>
  <c r="J7" i="5"/>
  <c r="AV6" i="5"/>
  <c r="AU6" i="5"/>
  <c r="AS6" i="5"/>
  <c r="AN6" i="5"/>
  <c r="AP6" i="5" s="1"/>
  <c r="AI6" i="5"/>
  <c r="AK6" i="5" s="1"/>
  <c r="AD6" i="5"/>
  <c r="AF6" i="5" s="1"/>
  <c r="Y6" i="5"/>
  <c r="AA6" i="5" s="1"/>
  <c r="T6" i="5"/>
  <c r="V6" i="5" s="1"/>
  <c r="O6" i="5"/>
  <c r="Q6" i="5" s="1"/>
  <c r="J6" i="5"/>
  <c r="AV5" i="5"/>
  <c r="AS5" i="5"/>
  <c r="AU5" i="5" s="1"/>
  <c r="AN5" i="5"/>
  <c r="AP5" i="5" s="1"/>
  <c r="AI5" i="5"/>
  <c r="AK5" i="5" s="1"/>
  <c r="AD5" i="5"/>
  <c r="AF5" i="5" s="1"/>
  <c r="Y5" i="5"/>
  <c r="AA5" i="5" s="1"/>
  <c r="T5" i="5"/>
  <c r="V5" i="5" s="1"/>
  <c r="Q5" i="5"/>
  <c r="O5" i="5"/>
  <c r="J5" i="5"/>
  <c r="AV4" i="5"/>
  <c r="AS4" i="5"/>
  <c r="AN4" i="5"/>
  <c r="AI4" i="5"/>
  <c r="AD4" i="5"/>
  <c r="AA4" i="5"/>
  <c r="Y4" i="5"/>
  <c r="T4" i="5"/>
  <c r="O4" i="5"/>
  <c r="J4" i="5"/>
  <c r="H280" i="7" l="1"/>
  <c r="N280" i="7" s="1"/>
  <c r="H279" i="7"/>
  <c r="N279" i="7" s="1"/>
  <c r="H278" i="7"/>
  <c r="N278" i="7" s="1"/>
  <c r="H277" i="7"/>
  <c r="N277" i="7" s="1"/>
  <c r="H276" i="7"/>
  <c r="N276" i="7" s="1"/>
  <c r="H275" i="7"/>
  <c r="N275" i="7" s="1"/>
  <c r="H60" i="7"/>
  <c r="N60" i="7" s="1"/>
  <c r="H268" i="7"/>
  <c r="H267" i="7"/>
  <c r="H266" i="7"/>
  <c r="H265" i="7"/>
  <c r="H264" i="7"/>
  <c r="H263" i="7"/>
  <c r="H58" i="7"/>
  <c r="F280" i="7"/>
  <c r="V280" i="7" s="1"/>
  <c r="F279" i="7"/>
  <c r="F278" i="7"/>
  <c r="V278" i="7" s="1"/>
  <c r="F277" i="7"/>
  <c r="F276" i="7"/>
  <c r="V276" i="7" s="1"/>
  <c r="F275" i="7"/>
  <c r="F60" i="7"/>
  <c r="V60" i="7" s="1"/>
  <c r="F160" i="7"/>
  <c r="V160" i="7" s="1"/>
  <c r="F159" i="7"/>
  <c r="V159" i="7" s="1"/>
  <c r="F158" i="7"/>
  <c r="V158" i="7" s="1"/>
  <c r="F157" i="7"/>
  <c r="V157" i="7" s="1"/>
  <c r="F155" i="7"/>
  <c r="V155" i="7" s="1"/>
  <c r="F153" i="7"/>
  <c r="V153" i="7" s="1"/>
  <c r="F151" i="7"/>
  <c r="V151" i="7" s="1"/>
  <c r="F149" i="7"/>
  <c r="V149" i="7" s="1"/>
  <c r="F147" i="7"/>
  <c r="V147" i="7" s="1"/>
  <c r="F145" i="7"/>
  <c r="V145" i="7" s="1"/>
  <c r="F143" i="7"/>
  <c r="V143" i="7" s="1"/>
  <c r="F141" i="7"/>
  <c r="V141" i="7" s="1"/>
  <c r="F139" i="7"/>
  <c r="V139" i="7" s="1"/>
  <c r="F137" i="7"/>
  <c r="V137" i="7" s="1"/>
  <c r="F27" i="7"/>
  <c r="V27" i="7" s="1"/>
  <c r="F156" i="7"/>
  <c r="V156" i="7" s="1"/>
  <c r="F154" i="7"/>
  <c r="V154" i="7" s="1"/>
  <c r="F152" i="7"/>
  <c r="V152" i="7" s="1"/>
  <c r="F150" i="7"/>
  <c r="V150" i="7" s="1"/>
  <c r="F148" i="7"/>
  <c r="V148" i="7" s="1"/>
  <c r="F146" i="7"/>
  <c r="V146" i="7" s="1"/>
  <c r="F144" i="7"/>
  <c r="V144" i="7" s="1"/>
  <c r="F142" i="7"/>
  <c r="V142" i="7" s="1"/>
  <c r="F140" i="7"/>
  <c r="V140" i="7" s="1"/>
  <c r="F138" i="7"/>
  <c r="V138" i="7" s="1"/>
  <c r="F30" i="7"/>
  <c r="V30" i="7" s="1"/>
  <c r="F29" i="7"/>
  <c r="V29" i="7" s="1"/>
  <c r="F28" i="7"/>
  <c r="V28" i="7" s="1"/>
  <c r="F80" i="2"/>
  <c r="F37" i="2"/>
  <c r="V37" i="2" s="1"/>
  <c r="F35" i="2"/>
  <c r="V35" i="2" s="1"/>
  <c r="F36" i="2"/>
  <c r="V36" i="2" s="1"/>
  <c r="F34" i="2"/>
  <c r="V34" i="2" s="1"/>
  <c r="F30" i="1"/>
  <c r="V83" i="2"/>
  <c r="I83" i="2"/>
  <c r="O83" i="2" s="1"/>
  <c r="I71" i="2"/>
  <c r="O71" i="2" s="1"/>
  <c r="V71" i="2"/>
  <c r="V46" i="2"/>
  <c r="I46" i="2"/>
  <c r="O46" i="2" s="1"/>
  <c r="I61" i="2"/>
  <c r="O61" i="2" s="1"/>
  <c r="V61" i="2"/>
  <c r="V3" i="2"/>
  <c r="N3" i="2"/>
  <c r="I3" i="2"/>
  <c r="AW21" i="5"/>
  <c r="AW22" i="5"/>
  <c r="O53" i="5"/>
  <c r="AW19" i="5"/>
  <c r="AW20" i="5"/>
  <c r="AW27" i="5"/>
  <c r="AW28" i="5"/>
  <c r="AW18" i="5"/>
  <c r="AW26" i="5"/>
  <c r="AY54" i="5"/>
  <c r="AV53" i="5"/>
  <c r="F56" i="1"/>
  <c r="F72" i="5"/>
  <c r="H79" i="2"/>
  <c r="H80" i="2"/>
  <c r="N80" i="2" s="1"/>
  <c r="H78" i="2"/>
  <c r="N78" i="2" s="1"/>
  <c r="D19" i="1"/>
  <c r="F18" i="1"/>
  <c r="F31" i="1"/>
  <c r="AX7" i="5"/>
  <c r="AX9" i="5"/>
  <c r="AX14" i="5"/>
  <c r="AA53" i="5"/>
  <c r="AW7" i="5"/>
  <c r="AY7" i="5" s="1"/>
  <c r="L7" i="5"/>
  <c r="Q4" i="5"/>
  <c r="Q53" i="5" s="1"/>
  <c r="AW11" i="5"/>
  <c r="L11" i="5"/>
  <c r="AX11" i="5" s="1"/>
  <c r="AY11" i="5" s="1"/>
  <c r="AI53" i="5"/>
  <c r="AW5" i="5"/>
  <c r="L5" i="5"/>
  <c r="AX5" i="5" s="1"/>
  <c r="AW9" i="5"/>
  <c r="AY9" i="5" s="1"/>
  <c r="L9" i="5"/>
  <c r="J53" i="5"/>
  <c r="AW4" i="5"/>
  <c r="L4" i="5"/>
  <c r="Y53" i="5"/>
  <c r="AK4" i="5"/>
  <c r="AK53" i="5" s="1"/>
  <c r="AW8" i="5"/>
  <c r="L8" i="5"/>
  <c r="AX8" i="5" s="1"/>
  <c r="AW12" i="5"/>
  <c r="AY12" i="5" s="1"/>
  <c r="AW14" i="5"/>
  <c r="AY14" i="5"/>
  <c r="AW16" i="5"/>
  <c r="AY16" i="5" s="1"/>
  <c r="AX25" i="5"/>
  <c r="AX28" i="5"/>
  <c r="AY28" i="5" s="1"/>
  <c r="AX29" i="5"/>
  <c r="AN53" i="5"/>
  <c r="AP4" i="5"/>
  <c r="AP53" i="5" s="1"/>
  <c r="AS53" i="5"/>
  <c r="AW6" i="5"/>
  <c r="L6" i="5"/>
  <c r="AX6" i="5" s="1"/>
  <c r="AW10" i="5"/>
  <c r="AY10" i="5" s="1"/>
  <c r="L10" i="5"/>
  <c r="AX10" i="5" s="1"/>
  <c r="AW13" i="5"/>
  <c r="AD53" i="5"/>
  <c r="AF4" i="5"/>
  <c r="AF53" i="5" s="1"/>
  <c r="T53" i="5"/>
  <c r="V4" i="5"/>
  <c r="AU4" i="5"/>
  <c r="L12" i="5"/>
  <c r="AX12" i="5" s="1"/>
  <c r="L13" i="5"/>
  <c r="AX13" i="5" s="1"/>
  <c r="AY13" i="5" s="1"/>
  <c r="L14" i="5"/>
  <c r="L15" i="5"/>
  <c r="AX15" i="5" s="1"/>
  <c r="AY15" i="5" s="1"/>
  <c r="L16" i="5"/>
  <c r="AX16" i="5" s="1"/>
  <c r="L17" i="5"/>
  <c r="AX17" i="5" s="1"/>
  <c r="AY17" i="5" s="1"/>
  <c r="L18" i="5"/>
  <c r="AX18" i="5" s="1"/>
  <c r="AY18" i="5" s="1"/>
  <c r="L19" i="5"/>
  <c r="AX19" i="5" s="1"/>
  <c r="AY19" i="5" s="1"/>
  <c r="L20" i="5"/>
  <c r="AX20" i="5" s="1"/>
  <c r="L21" i="5"/>
  <c r="AX21" i="5" s="1"/>
  <c r="AY21" i="5" s="1"/>
  <c r="V23" i="5"/>
  <c r="AX23" i="5" s="1"/>
  <c r="AY23" i="5" s="1"/>
  <c r="L24" i="5"/>
  <c r="AX24" i="5" s="1"/>
  <c r="AY24" i="5" s="1"/>
  <c r="V27" i="5"/>
  <c r="AX27" i="5" s="1"/>
  <c r="L28" i="5"/>
  <c r="L34" i="5"/>
  <c r="AX34" i="5" s="1"/>
  <c r="AY34" i="5" s="1"/>
  <c r="AX40" i="5"/>
  <c r="AY40" i="5" s="1"/>
  <c r="AY48" i="5"/>
  <c r="AY55" i="5"/>
  <c r="AX31" i="5"/>
  <c r="AY31" i="5" s="1"/>
  <c r="AX35" i="5"/>
  <c r="AY35" i="5" s="1"/>
  <c r="AW37" i="5"/>
  <c r="L37" i="5"/>
  <c r="AX37" i="5" s="1"/>
  <c r="L22" i="5"/>
  <c r="AX22" i="5" s="1"/>
  <c r="AY22" i="5" s="1"/>
  <c r="L26" i="5"/>
  <c r="AX26" i="5" s="1"/>
  <c r="AY26" i="5" s="1"/>
  <c r="L32" i="5"/>
  <c r="AX32" i="5" s="1"/>
  <c r="AY32" i="5" s="1"/>
  <c r="AX36" i="5"/>
  <c r="AY36" i="5" s="1"/>
  <c r="AX38" i="5"/>
  <c r="AX50" i="5"/>
  <c r="AY50" i="5" s="1"/>
  <c r="AW25" i="5"/>
  <c r="AW29" i="5"/>
  <c r="AY29" i="5" s="1"/>
  <c r="AX33" i="5"/>
  <c r="AY33" i="5" s="1"/>
  <c r="AW38" i="5"/>
  <c r="L38" i="5"/>
  <c r="AX39" i="5"/>
  <c r="AY39" i="5" s="1"/>
  <c r="L48" i="5"/>
  <c r="L49" i="5"/>
  <c r="AX49" i="5" s="1"/>
  <c r="AY49" i="5" s="1"/>
  <c r="L50" i="5"/>
  <c r="L51" i="5"/>
  <c r="AX51" i="5" s="1"/>
  <c r="AY51" i="5" s="1"/>
  <c r="L52" i="5"/>
  <c r="AX52" i="5" s="1"/>
  <c r="AY52" i="5" s="1"/>
  <c r="AW56" i="5"/>
  <c r="AY56" i="5" s="1"/>
  <c r="L39" i="5"/>
  <c r="L40" i="5"/>
  <c r="L41" i="5"/>
  <c r="AX41" i="5" s="1"/>
  <c r="AY41" i="5" s="1"/>
  <c r="L42" i="5"/>
  <c r="AX42" i="5" s="1"/>
  <c r="AY42" i="5" s="1"/>
  <c r="V277" i="7" l="1"/>
  <c r="V275" i="7"/>
  <c r="V279" i="7"/>
  <c r="N264" i="7"/>
  <c r="V264" i="7"/>
  <c r="N268" i="7"/>
  <c r="V268" i="7"/>
  <c r="F184" i="7"/>
  <c r="V184" i="7" s="1"/>
  <c r="F183" i="7"/>
  <c r="V183" i="7" s="1"/>
  <c r="F182" i="7"/>
  <c r="V182" i="7" s="1"/>
  <c r="F181" i="7"/>
  <c r="V181" i="7" s="1"/>
  <c r="F180" i="7"/>
  <c r="V180" i="7" s="1"/>
  <c r="F179" i="7"/>
  <c r="V179" i="7" s="1"/>
  <c r="F178" i="7"/>
  <c r="V178" i="7" s="1"/>
  <c r="F177" i="7"/>
  <c r="V177" i="7" s="1"/>
  <c r="F176" i="7"/>
  <c r="V176" i="7" s="1"/>
  <c r="F175" i="7"/>
  <c r="V175" i="7" s="1"/>
  <c r="F174" i="7"/>
  <c r="V174" i="7" s="1"/>
  <c r="F173" i="7"/>
  <c r="V173" i="7" s="1"/>
  <c r="F172" i="7"/>
  <c r="V172" i="7" s="1"/>
  <c r="F171" i="7"/>
  <c r="V171" i="7" s="1"/>
  <c r="F170" i="7"/>
  <c r="V170" i="7" s="1"/>
  <c r="F169" i="7"/>
  <c r="V169" i="7" s="1"/>
  <c r="F168" i="7"/>
  <c r="V168" i="7" s="1"/>
  <c r="F167" i="7"/>
  <c r="V167" i="7" s="1"/>
  <c r="F34" i="7"/>
  <c r="V34" i="7" s="1"/>
  <c r="F33" i="7"/>
  <c r="V33" i="7" s="1"/>
  <c r="F32" i="7"/>
  <c r="V32" i="7" s="1"/>
  <c r="I268" i="7"/>
  <c r="O268" i="7" s="1"/>
  <c r="I264" i="7"/>
  <c r="O264" i="7" s="1"/>
  <c r="I265" i="7"/>
  <c r="O265" i="7" s="1"/>
  <c r="I266" i="7"/>
  <c r="O266" i="7" s="1"/>
  <c r="I58" i="7"/>
  <c r="O58" i="7" s="1"/>
  <c r="I267" i="7"/>
  <c r="O267" i="7" s="1"/>
  <c r="I263" i="7"/>
  <c r="O263" i="7" s="1"/>
  <c r="V265" i="7"/>
  <c r="N265" i="7"/>
  <c r="N58" i="7"/>
  <c r="V58" i="7"/>
  <c r="N266" i="7"/>
  <c r="V266" i="7"/>
  <c r="I160" i="7"/>
  <c r="O160" i="7" s="1"/>
  <c r="I159" i="7"/>
  <c r="O159" i="7" s="1"/>
  <c r="I158" i="7"/>
  <c r="O158" i="7" s="1"/>
  <c r="I157" i="7"/>
  <c r="O157" i="7" s="1"/>
  <c r="I156" i="7"/>
  <c r="O156" i="7" s="1"/>
  <c r="I155" i="7"/>
  <c r="O155" i="7" s="1"/>
  <c r="I154" i="7"/>
  <c r="O154" i="7" s="1"/>
  <c r="I153" i="7"/>
  <c r="O153" i="7" s="1"/>
  <c r="I152" i="7"/>
  <c r="O152" i="7" s="1"/>
  <c r="I151" i="7"/>
  <c r="O151" i="7" s="1"/>
  <c r="I150" i="7"/>
  <c r="O150" i="7" s="1"/>
  <c r="I149" i="7"/>
  <c r="O149" i="7" s="1"/>
  <c r="I148" i="7"/>
  <c r="O148" i="7" s="1"/>
  <c r="I147" i="7"/>
  <c r="O147" i="7" s="1"/>
  <c r="I146" i="7"/>
  <c r="O146" i="7" s="1"/>
  <c r="I145" i="7"/>
  <c r="O145" i="7" s="1"/>
  <c r="I144" i="7"/>
  <c r="O144" i="7" s="1"/>
  <c r="I143" i="7"/>
  <c r="O143" i="7" s="1"/>
  <c r="I142" i="7"/>
  <c r="O142" i="7" s="1"/>
  <c r="I141" i="7"/>
  <c r="O141" i="7" s="1"/>
  <c r="I140" i="7"/>
  <c r="O140" i="7" s="1"/>
  <c r="I139" i="7"/>
  <c r="O139" i="7" s="1"/>
  <c r="I138" i="7"/>
  <c r="O138" i="7" s="1"/>
  <c r="I137" i="7"/>
  <c r="O137" i="7" s="1"/>
  <c r="I30" i="7"/>
  <c r="O30" i="7" s="1"/>
  <c r="I29" i="7"/>
  <c r="O29" i="7" s="1"/>
  <c r="I28" i="7"/>
  <c r="O28" i="7" s="1"/>
  <c r="I27" i="7"/>
  <c r="I279" i="7"/>
  <c r="O279" i="7" s="1"/>
  <c r="I277" i="7"/>
  <c r="O277" i="7" s="1"/>
  <c r="I275" i="7"/>
  <c r="O275" i="7" s="1"/>
  <c r="I280" i="7"/>
  <c r="O280" i="7" s="1"/>
  <c r="I278" i="7"/>
  <c r="O278" i="7" s="1"/>
  <c r="I276" i="7"/>
  <c r="O276" i="7" s="1"/>
  <c r="I60" i="7"/>
  <c r="O60" i="7" s="1"/>
  <c r="N263" i="7"/>
  <c r="V263" i="7"/>
  <c r="N267" i="7"/>
  <c r="V267" i="7"/>
  <c r="V79" i="2"/>
  <c r="N79" i="2"/>
  <c r="F41" i="2"/>
  <c r="V41" i="2" s="1"/>
  <c r="F39" i="2"/>
  <c r="V39" i="2" s="1"/>
  <c r="F40" i="2"/>
  <c r="V40" i="2" s="1"/>
  <c r="I36" i="2"/>
  <c r="O36" i="2" s="1"/>
  <c r="I37" i="2"/>
  <c r="O37" i="2" s="1"/>
  <c r="I34" i="2"/>
  <c r="O34" i="2" s="1"/>
  <c r="I35" i="2"/>
  <c r="O35" i="2" s="1"/>
  <c r="I78" i="2"/>
  <c r="O78" i="2" s="1"/>
  <c r="I80" i="2"/>
  <c r="O80" i="2" s="1"/>
  <c r="O3" i="2"/>
  <c r="AY25" i="5"/>
  <c r="AY27" i="5"/>
  <c r="AY20" i="5"/>
  <c r="V80" i="2"/>
  <c r="F19" i="1"/>
  <c r="AY6" i="5"/>
  <c r="L53" i="5"/>
  <c r="AY38" i="5"/>
  <c r="AY8" i="5"/>
  <c r="AU53" i="5"/>
  <c r="AX4" i="5"/>
  <c r="AY4" i="5" s="1"/>
  <c r="AW53" i="5"/>
  <c r="AY37" i="5"/>
  <c r="V53" i="5"/>
  <c r="AY5" i="5"/>
  <c r="I176" i="7" l="1"/>
  <c r="O176" i="7" s="1"/>
  <c r="I175" i="7"/>
  <c r="O175" i="7" s="1"/>
  <c r="I174" i="7"/>
  <c r="O174" i="7" s="1"/>
  <c r="I173" i="7"/>
  <c r="O173" i="7" s="1"/>
  <c r="I172" i="7"/>
  <c r="O172" i="7" s="1"/>
  <c r="I171" i="7"/>
  <c r="O171" i="7" s="1"/>
  <c r="I170" i="7"/>
  <c r="O170" i="7" s="1"/>
  <c r="I169" i="7"/>
  <c r="O169" i="7" s="1"/>
  <c r="I168" i="7"/>
  <c r="O168" i="7" s="1"/>
  <c r="I167" i="7"/>
  <c r="O167" i="7" s="1"/>
  <c r="I183" i="7"/>
  <c r="O183" i="7" s="1"/>
  <c r="I181" i="7"/>
  <c r="O181" i="7" s="1"/>
  <c r="I179" i="7"/>
  <c r="O179" i="7" s="1"/>
  <c r="I177" i="7"/>
  <c r="O177" i="7" s="1"/>
  <c r="I34" i="7"/>
  <c r="O34" i="7" s="1"/>
  <c r="I33" i="7"/>
  <c r="O33" i="7" s="1"/>
  <c r="I32" i="7"/>
  <c r="O32" i="7" s="1"/>
  <c r="I184" i="7"/>
  <c r="O184" i="7" s="1"/>
  <c r="I182" i="7"/>
  <c r="O182" i="7" s="1"/>
  <c r="I180" i="7"/>
  <c r="O180" i="7" s="1"/>
  <c r="I178" i="7"/>
  <c r="O178" i="7" s="1"/>
  <c r="O27" i="7"/>
  <c r="H64" i="7"/>
  <c r="H233" i="7"/>
  <c r="H66" i="7"/>
  <c r="H48" i="7"/>
  <c r="H4" i="7"/>
  <c r="H55" i="7"/>
  <c r="K1" i="7"/>
  <c r="H255" i="7"/>
  <c r="H40" i="7"/>
  <c r="H289" i="7"/>
  <c r="H200" i="7"/>
  <c r="I1" i="7"/>
  <c r="K1" i="2"/>
  <c r="H87" i="2"/>
  <c r="N87" i="2" s="1"/>
  <c r="H50" i="2"/>
  <c r="N50" i="2" s="1"/>
  <c r="H75" i="2"/>
  <c r="N75" i="2" s="1"/>
  <c r="H7" i="2"/>
  <c r="N7" i="2" s="1"/>
  <c r="H65" i="2"/>
  <c r="N65" i="2" s="1"/>
  <c r="I40" i="2"/>
  <c r="O40" i="2" s="1"/>
  <c r="I39" i="2"/>
  <c r="O39" i="2" s="1"/>
  <c r="I41" i="2"/>
  <c r="O41" i="2" s="1"/>
  <c r="AX53" i="5"/>
  <c r="I289" i="7" l="1"/>
  <c r="O289" i="7" s="1"/>
  <c r="N289" i="7"/>
  <c r="V289" i="7"/>
  <c r="I55" i="7"/>
  <c r="O55" i="7" s="1"/>
  <c r="N55" i="7"/>
  <c r="V55" i="7"/>
  <c r="N233" i="7"/>
  <c r="V233" i="7"/>
  <c r="I233" i="7"/>
  <c r="O233" i="7" s="1"/>
  <c r="N40" i="7"/>
  <c r="I40" i="7"/>
  <c r="O40" i="7" s="1"/>
  <c r="V40" i="7"/>
  <c r="V4" i="7"/>
  <c r="I4" i="7"/>
  <c r="N4" i="7"/>
  <c r="N64" i="7"/>
  <c r="I64" i="7"/>
  <c r="O64" i="7" s="1"/>
  <c r="V64" i="7"/>
  <c r="N255" i="7"/>
  <c r="V255" i="7"/>
  <c r="I255" i="7"/>
  <c r="O255" i="7" s="1"/>
  <c r="V48" i="7"/>
  <c r="I48" i="7"/>
  <c r="O48" i="7" s="1"/>
  <c r="N48" i="7"/>
  <c r="N200" i="7"/>
  <c r="V200" i="7"/>
  <c r="I200" i="7"/>
  <c r="O200" i="7" s="1"/>
  <c r="I66" i="7"/>
  <c r="O66" i="7" s="1"/>
  <c r="N66" i="7"/>
  <c r="V66" i="7"/>
  <c r="I1" i="2"/>
  <c r="O4" i="7" l="1"/>
  <c r="H1" i="7"/>
  <c r="V78" i="2"/>
  <c r="DI56" i="1" l="1"/>
  <c r="DK58" i="1"/>
  <c r="DI58" i="1"/>
  <c r="K58" i="1"/>
  <c r="DJ58" i="1" s="1"/>
  <c r="K57" i="1"/>
  <c r="DK56" i="1"/>
  <c r="K56" i="1"/>
  <c r="DJ56" i="1" s="1"/>
  <c r="CV55" i="1"/>
  <c r="CI55" i="1"/>
  <c r="BV55" i="1"/>
  <c r="BI55" i="1"/>
  <c r="AV55" i="1"/>
  <c r="AI55" i="1"/>
  <c r="V55" i="1"/>
  <c r="G55" i="1"/>
  <c r="DI54" i="1"/>
  <c r="CX54" i="1"/>
  <c r="DD54" i="1" s="1"/>
  <c r="CK54" i="1"/>
  <c r="CS54" i="1" s="1"/>
  <c r="BX54" i="1"/>
  <c r="CD54" i="1" s="1"/>
  <c r="BK54" i="1"/>
  <c r="BS54" i="1" s="1"/>
  <c r="AX54" i="1"/>
  <c r="BD54" i="1" s="1"/>
  <c r="AK54" i="1"/>
  <c r="AS54" i="1" s="1"/>
  <c r="X54" i="1"/>
  <c r="AD54" i="1" s="1"/>
  <c r="K54" i="1"/>
  <c r="S54" i="1" s="1"/>
  <c r="DI52" i="1"/>
  <c r="BK51" i="1"/>
  <c r="BM51" i="1" s="1"/>
  <c r="F50" i="1"/>
  <c r="DI50" i="1" s="1"/>
  <c r="BX44" i="1"/>
  <c r="CH44" i="1" s="1"/>
  <c r="K41" i="1"/>
  <c r="U41" i="1" s="1"/>
  <c r="BX40" i="1"/>
  <c r="CB40" i="1" s="1"/>
  <c r="K37" i="1"/>
  <c r="F36" i="1"/>
  <c r="BX36" i="1" s="1"/>
  <c r="DI33" i="1"/>
  <c r="DK32" i="1"/>
  <c r="BX30" i="1"/>
  <c r="DI28" i="1"/>
  <c r="CX17" i="1"/>
  <c r="F16" i="1"/>
  <c r="BX16" i="1" s="1"/>
  <c r="DI13" i="1"/>
  <c r="AK13" i="1"/>
  <c r="AS13" i="1" s="1"/>
  <c r="CX13" i="1"/>
  <c r="BK12" i="1"/>
  <c r="BO12" i="1" s="1"/>
  <c r="BX11" i="1"/>
  <c r="CF11" i="1" s="1"/>
  <c r="AX11" i="1"/>
  <c r="DI9" i="1"/>
  <c r="DI8" i="1"/>
  <c r="CX8" i="1"/>
  <c r="DF8" i="1" s="1"/>
  <c r="CK8" i="1"/>
  <c r="CS8" i="1" s="1"/>
  <c r="BX8" i="1"/>
  <c r="CF8" i="1" s="1"/>
  <c r="BK8" i="1"/>
  <c r="BM8" i="1" s="1"/>
  <c r="AX8" i="1"/>
  <c r="BF8" i="1" s="1"/>
  <c r="AK8" i="1"/>
  <c r="AS8" i="1" s="1"/>
  <c r="X8" i="1"/>
  <c r="AF8" i="1" s="1"/>
  <c r="K8" i="1"/>
  <c r="AX6" i="1"/>
  <c r="BD6" i="1" s="1"/>
  <c r="F4" i="1"/>
  <c r="DI4" i="1" s="1"/>
  <c r="CQ54" i="1" l="1"/>
  <c r="X33" i="1"/>
  <c r="AF33" i="1" s="1"/>
  <c r="K9" i="1"/>
  <c r="M9" i="1" s="1"/>
  <c r="DI26" i="1"/>
  <c r="CX50" i="1"/>
  <c r="DF50" i="1" s="1"/>
  <c r="DB8" i="1"/>
  <c r="X30" i="1"/>
  <c r="AD30" i="1" s="1"/>
  <c r="CK51" i="1"/>
  <c r="CS51" i="1" s="1"/>
  <c r="DI51" i="1"/>
  <c r="CX53" i="1"/>
  <c r="DF53" i="1" s="1"/>
  <c r="BD8" i="1"/>
  <c r="CM8" i="1"/>
  <c r="AK35" i="1"/>
  <c r="AO35" i="1" s="1"/>
  <c r="X51" i="1"/>
  <c r="AF51" i="1" s="1"/>
  <c r="K52" i="1"/>
  <c r="O52" i="1" s="1"/>
  <c r="BX53" i="1"/>
  <c r="BZ53" i="1" s="1"/>
  <c r="BQ54" i="1"/>
  <c r="CU8" i="1"/>
  <c r="X11" i="1"/>
  <c r="AF11" i="1" s="1"/>
  <c r="AK51" i="1"/>
  <c r="AQ51" i="1" s="1"/>
  <c r="BK52" i="1"/>
  <c r="BQ52" i="1" s="1"/>
  <c r="BX5" i="1"/>
  <c r="CB5" i="1" s="1"/>
  <c r="DI6" i="1"/>
  <c r="DJ8" i="1"/>
  <c r="DD8" i="1"/>
  <c r="DI15" i="1"/>
  <c r="Q54" i="1"/>
  <c r="BK38" i="1"/>
  <c r="BS38" i="1" s="1"/>
  <c r="CX44" i="1"/>
  <c r="CZ44" i="1" s="1"/>
  <c r="BM54" i="1"/>
  <c r="DF54" i="1"/>
  <c r="CK4" i="1"/>
  <c r="CS4" i="1" s="1"/>
  <c r="CX6" i="1"/>
  <c r="DH6" i="1" s="1"/>
  <c r="AB8" i="1"/>
  <c r="BB8" i="1"/>
  <c r="DI11" i="1"/>
  <c r="CK12" i="1"/>
  <c r="CM12" i="1" s="1"/>
  <c r="AX16" i="1"/>
  <c r="BB16" i="1" s="1"/>
  <c r="X39" i="1"/>
  <c r="AH39" i="1" s="1"/>
  <c r="BO54" i="1"/>
  <c r="CO54" i="1"/>
  <c r="DL58" i="1"/>
  <c r="AX7" i="1"/>
  <c r="BD7" i="1" s="1"/>
  <c r="AD8" i="1"/>
  <c r="S8" i="1"/>
  <c r="BM12" i="1"/>
  <c r="X15" i="1"/>
  <c r="CX15" i="1"/>
  <c r="DH15" i="1" s="1"/>
  <c r="AK4" i="1"/>
  <c r="X6" i="1"/>
  <c r="AD6" i="1" s="1"/>
  <c r="BK7" i="1"/>
  <c r="BM7" i="1" s="1"/>
  <c r="CX11" i="1"/>
  <c r="DH11" i="1" s="1"/>
  <c r="AX12" i="1"/>
  <c r="BF12" i="1" s="1"/>
  <c r="DI12" i="1"/>
  <c r="AX15" i="1"/>
  <c r="AK16" i="1"/>
  <c r="AO16" i="1" s="1"/>
  <c r="CX16" i="1"/>
  <c r="DH16" i="1" s="1"/>
  <c r="CX26" i="1"/>
  <c r="DF26" i="1" s="1"/>
  <c r="X44" i="1"/>
  <c r="K51" i="1"/>
  <c r="Q51" i="1" s="1"/>
  <c r="AX51" i="1"/>
  <c r="BH51" i="1" s="1"/>
  <c r="CX51" i="1"/>
  <c r="DD51" i="1" s="1"/>
  <c r="X53" i="1"/>
  <c r="AH53" i="1" s="1"/>
  <c r="O54" i="1"/>
  <c r="AF54" i="1"/>
  <c r="AQ54" i="1"/>
  <c r="BU54" i="1"/>
  <c r="CM54" i="1"/>
  <c r="DL56" i="1"/>
  <c r="BX15" i="1"/>
  <c r="CH15" i="1" s="1"/>
  <c r="AU54" i="1"/>
  <c r="CB8" i="1"/>
  <c r="U54" i="1"/>
  <c r="AM54" i="1"/>
  <c r="CF54" i="1"/>
  <c r="BX6" i="1"/>
  <c r="CD6" i="1" s="1"/>
  <c r="K7" i="1"/>
  <c r="M7" i="1" s="1"/>
  <c r="U8" i="1"/>
  <c r="CD8" i="1"/>
  <c r="AK12" i="1"/>
  <c r="CX12" i="1"/>
  <c r="DF12" i="1" s="1"/>
  <c r="CK16" i="1"/>
  <c r="CM16" i="1" s="1"/>
  <c r="X26" i="1"/>
  <c r="AH26" i="1" s="1"/>
  <c r="AK28" i="1"/>
  <c r="AU28" i="1" s="1"/>
  <c r="AX50" i="1"/>
  <c r="AZ50" i="1" s="1"/>
  <c r="BX51" i="1"/>
  <c r="CB51" i="1" s="1"/>
  <c r="M54" i="1"/>
  <c r="AO54" i="1"/>
  <c r="BF54" i="1"/>
  <c r="CU54" i="1"/>
  <c r="CF16" i="1"/>
  <c r="CD16" i="1"/>
  <c r="CB16" i="1"/>
  <c r="BX7" i="1"/>
  <c r="CX7" i="1"/>
  <c r="CZ7" i="1" s="1"/>
  <c r="AK17" i="1"/>
  <c r="AS17" i="1" s="1"/>
  <c r="AK38" i="1"/>
  <c r="AO38" i="1" s="1"/>
  <c r="CK40" i="1"/>
  <c r="CO40" i="1" s="1"/>
  <c r="BU51" i="1"/>
  <c r="BF6" i="1"/>
  <c r="X7" i="1"/>
  <c r="CK7" i="1"/>
  <c r="DI7" i="1"/>
  <c r="K12" i="1"/>
  <c r="Q12" i="1" s="1"/>
  <c r="BX12" i="1"/>
  <c r="BZ12" i="1" s="1"/>
  <c r="K13" i="1"/>
  <c r="S13" i="1" s="1"/>
  <c r="CK13" i="1"/>
  <c r="CS13" i="1" s="1"/>
  <c r="K16" i="1"/>
  <c r="BK16" i="1"/>
  <c r="BS16" i="1" s="1"/>
  <c r="DI16" i="1"/>
  <c r="CK17" i="1"/>
  <c r="CU17" i="1" s="1"/>
  <c r="BX26" i="1"/>
  <c r="CF26" i="1" s="1"/>
  <c r="K28" i="1"/>
  <c r="BK28" i="1"/>
  <c r="AK40" i="1"/>
  <c r="AM40" i="1" s="1"/>
  <c r="CX40" i="1"/>
  <c r="DD40" i="1" s="1"/>
  <c r="X50" i="1"/>
  <c r="Z50" i="1" s="1"/>
  <c r="BX50" i="1"/>
  <c r="BZ50" i="1" s="1"/>
  <c r="BS51" i="1"/>
  <c r="AX53" i="1"/>
  <c r="BF53" i="1" s="1"/>
  <c r="DI38" i="1"/>
  <c r="DI17" i="1"/>
  <c r="X40" i="1"/>
  <c r="Z40" i="1" s="1"/>
  <c r="DI40" i="1"/>
  <c r="AK7" i="1"/>
  <c r="AO7" i="1" s="1"/>
  <c r="X12" i="1"/>
  <c r="Z12" i="1" s="1"/>
  <c r="BU12" i="1"/>
  <c r="BK13" i="1"/>
  <c r="BQ13" i="1" s="1"/>
  <c r="X16" i="1"/>
  <c r="K17" i="1"/>
  <c r="S17" i="1" s="1"/>
  <c r="BK17" i="1"/>
  <c r="BM17" i="1" s="1"/>
  <c r="AX26" i="1"/>
  <c r="BD26" i="1" s="1"/>
  <c r="K38" i="1"/>
  <c r="M38" i="1" s="1"/>
  <c r="K40" i="1"/>
  <c r="O40" i="1" s="1"/>
  <c r="AX40" i="1"/>
  <c r="BH40" i="1" s="1"/>
  <c r="BK40" i="1"/>
  <c r="BU40" i="1" s="1"/>
  <c r="DI41" i="1"/>
  <c r="CF5" i="1"/>
  <c r="BO8" i="1"/>
  <c r="BQ8" i="1"/>
  <c r="CX9" i="1"/>
  <c r="BX9" i="1"/>
  <c r="AX9" i="1"/>
  <c r="X9" i="1"/>
  <c r="CH11" i="1"/>
  <c r="BZ11" i="1"/>
  <c r="CB11" i="1"/>
  <c r="CD11" i="1"/>
  <c r="DI14" i="1"/>
  <c r="CK14" i="1"/>
  <c r="BK14" i="1"/>
  <c r="AK14" i="1"/>
  <c r="K14" i="1"/>
  <c r="BX14" i="1"/>
  <c r="X14" i="1"/>
  <c r="CX14" i="1"/>
  <c r="AX14" i="1"/>
  <c r="Z15" i="1"/>
  <c r="CB30" i="1"/>
  <c r="CF30" i="1"/>
  <c r="BZ30" i="1"/>
  <c r="CH30" i="1"/>
  <c r="DI35" i="1"/>
  <c r="X35" i="1"/>
  <c r="K35" i="1"/>
  <c r="CX35" i="1"/>
  <c r="CK35" i="1"/>
  <c r="BX35" i="1"/>
  <c r="AX35" i="1"/>
  <c r="BK35" i="1"/>
  <c r="U37" i="1"/>
  <c r="M37" i="1"/>
  <c r="O37" i="1"/>
  <c r="Q37" i="1"/>
  <c r="S37" i="1"/>
  <c r="CO8" i="1"/>
  <c r="CQ8" i="1"/>
  <c r="BD15" i="1"/>
  <c r="DD17" i="1"/>
  <c r="CZ17" i="1"/>
  <c r="DF17" i="1"/>
  <c r="DH17" i="1"/>
  <c r="DI24" i="1"/>
  <c r="CK24" i="1"/>
  <c r="BK24" i="1"/>
  <c r="AK24" i="1"/>
  <c r="K24" i="1"/>
  <c r="CX24" i="1"/>
  <c r="AX24" i="1"/>
  <c r="BX24" i="1"/>
  <c r="X24" i="1"/>
  <c r="CB36" i="1"/>
  <c r="CD36" i="1"/>
  <c r="BZ36" i="1"/>
  <c r="CF36" i="1"/>
  <c r="CH36" i="1"/>
  <c r="AB44" i="1"/>
  <c r="AD44" i="1"/>
  <c r="Z44" i="1"/>
  <c r="AF44" i="1"/>
  <c r="AH44" i="1"/>
  <c r="X5" i="1"/>
  <c r="AU8" i="1"/>
  <c r="AK9" i="1"/>
  <c r="K4" i="1"/>
  <c r="BK4" i="1"/>
  <c r="M8" i="1"/>
  <c r="BU8" i="1"/>
  <c r="BK9" i="1"/>
  <c r="DB17" i="1"/>
  <c r="CD30" i="1"/>
  <c r="DI5" i="1"/>
  <c r="CK5" i="1"/>
  <c r="BK5" i="1"/>
  <c r="AK5" i="1"/>
  <c r="K5" i="1"/>
  <c r="AO8" i="1"/>
  <c r="AQ8" i="1"/>
  <c r="U9" i="1"/>
  <c r="Q9" i="1"/>
  <c r="O9" i="1"/>
  <c r="BH11" i="1"/>
  <c r="AZ11" i="1"/>
  <c r="BD11" i="1"/>
  <c r="BB11" i="1"/>
  <c r="CZ15" i="1"/>
  <c r="CX4" i="1"/>
  <c r="BX4" i="1"/>
  <c r="AX4" i="1"/>
  <c r="X4" i="1"/>
  <c r="BH6" i="1"/>
  <c r="AZ6" i="1"/>
  <c r="BB6" i="1"/>
  <c r="CZ6" i="1"/>
  <c r="O8" i="1"/>
  <c r="Q8" i="1"/>
  <c r="DI10" i="1"/>
  <c r="CK10" i="1"/>
  <c r="BK10" i="1"/>
  <c r="AK10" i="1"/>
  <c r="K10" i="1"/>
  <c r="BX10" i="1"/>
  <c r="X10" i="1"/>
  <c r="CX10" i="1"/>
  <c r="AX10" i="1"/>
  <c r="AB11" i="1"/>
  <c r="DD13" i="1"/>
  <c r="CZ13" i="1"/>
  <c r="DF13" i="1"/>
  <c r="DH13" i="1"/>
  <c r="AU13" i="1"/>
  <c r="AM13" i="1"/>
  <c r="AQ13" i="1"/>
  <c r="AO13" i="1"/>
  <c r="BQ17" i="1"/>
  <c r="AX5" i="1"/>
  <c r="CX5" i="1"/>
  <c r="AM8" i="1"/>
  <c r="BS8" i="1"/>
  <c r="S9" i="1"/>
  <c r="CK9" i="1"/>
  <c r="BF11" i="1"/>
  <c r="DB13" i="1"/>
  <c r="DI36" i="1"/>
  <c r="CK36" i="1"/>
  <c r="BK36" i="1"/>
  <c r="AK36" i="1"/>
  <c r="K36" i="1"/>
  <c r="X36" i="1"/>
  <c r="AX36" i="1"/>
  <c r="CM51" i="1"/>
  <c r="CX28" i="1"/>
  <c r="BX28" i="1"/>
  <c r="AX28" i="1"/>
  <c r="X28" i="1"/>
  <c r="BS12" i="1"/>
  <c r="S16" i="1"/>
  <c r="CX36" i="1"/>
  <c r="K6" i="1"/>
  <c r="AK6" i="1"/>
  <c r="BK6" i="1"/>
  <c r="CK6" i="1"/>
  <c r="DH7" i="1"/>
  <c r="Z8" i="1"/>
  <c r="AH8" i="1"/>
  <c r="AZ8" i="1"/>
  <c r="BH8" i="1"/>
  <c r="BZ8" i="1"/>
  <c r="CH8" i="1"/>
  <c r="CZ8" i="1"/>
  <c r="DH8" i="1"/>
  <c r="K11" i="1"/>
  <c r="AK11" i="1"/>
  <c r="BK11" i="1"/>
  <c r="CK11" i="1"/>
  <c r="AQ12" i="1"/>
  <c r="BQ12" i="1"/>
  <c r="X13" i="1"/>
  <c r="AX13" i="1"/>
  <c r="BX13" i="1"/>
  <c r="K15" i="1"/>
  <c r="AK15" i="1"/>
  <c r="BK15" i="1"/>
  <c r="CK15" i="1"/>
  <c r="Q16" i="1"/>
  <c r="BZ16" i="1"/>
  <c r="CH16" i="1"/>
  <c r="X17" i="1"/>
  <c r="AX17" i="1"/>
  <c r="BX17" i="1"/>
  <c r="K26" i="1"/>
  <c r="AK26" i="1"/>
  <c r="BK26" i="1"/>
  <c r="CK26" i="1"/>
  <c r="BM28" i="1"/>
  <c r="CK28" i="1"/>
  <c r="DI30" i="1"/>
  <c r="CK30" i="1"/>
  <c r="BK30" i="1"/>
  <c r="AK30" i="1"/>
  <c r="K30" i="1"/>
  <c r="AX33" i="1"/>
  <c r="AK33" i="1"/>
  <c r="CK33" i="1"/>
  <c r="BX33" i="1"/>
  <c r="K33" i="1"/>
  <c r="BK33" i="1"/>
  <c r="DI37" i="1"/>
  <c r="CK37" i="1"/>
  <c r="BK37" i="1"/>
  <c r="AK37" i="1"/>
  <c r="CX37" i="1"/>
  <c r="X37" i="1"/>
  <c r="BX37" i="1"/>
  <c r="AX37" i="1"/>
  <c r="O41" i="1"/>
  <c r="M41" i="1"/>
  <c r="Q41" i="1"/>
  <c r="S41" i="1"/>
  <c r="BU52" i="1"/>
  <c r="BM52" i="1"/>
  <c r="BO52" i="1"/>
  <c r="BS52" i="1"/>
  <c r="BB53" i="1"/>
  <c r="CX30" i="1"/>
  <c r="BU28" i="1"/>
  <c r="AX30" i="1"/>
  <c r="CX33" i="1"/>
  <c r="CH40" i="1"/>
  <c r="BZ40" i="1"/>
  <c r="CD40" i="1"/>
  <c r="CF40" i="1"/>
  <c r="CX41" i="1"/>
  <c r="BX41" i="1"/>
  <c r="AX41" i="1"/>
  <c r="X41" i="1"/>
  <c r="AK41" i="1"/>
  <c r="BK41" i="1"/>
  <c r="CK41" i="1"/>
  <c r="DI39" i="1"/>
  <c r="CK39" i="1"/>
  <c r="BK39" i="1"/>
  <c r="AK39" i="1"/>
  <c r="K39" i="1"/>
  <c r="AX39" i="1"/>
  <c r="BX39" i="1"/>
  <c r="DH44" i="1"/>
  <c r="CB44" i="1"/>
  <c r="CD44" i="1"/>
  <c r="BZ44" i="1"/>
  <c r="CF44" i="1"/>
  <c r="CH50" i="1"/>
  <c r="CB50" i="1"/>
  <c r="CD50" i="1"/>
  <c r="CF50" i="1"/>
  <c r="DI60" i="1"/>
  <c r="CK60" i="1"/>
  <c r="BK60" i="1"/>
  <c r="AK60" i="1"/>
  <c r="K60" i="1"/>
  <c r="CX60" i="1"/>
  <c r="X60" i="1"/>
  <c r="CX39" i="1"/>
  <c r="DF44" i="1"/>
  <c r="BX60" i="1"/>
  <c r="CX38" i="1"/>
  <c r="BX38" i="1"/>
  <c r="AX38" i="1"/>
  <c r="X38" i="1"/>
  <c r="DH50" i="1"/>
  <c r="CZ50" i="1"/>
  <c r="DB50" i="1"/>
  <c r="BO51" i="1"/>
  <c r="BQ51" i="1"/>
  <c r="CK38" i="1"/>
  <c r="AX44" i="1"/>
  <c r="AH40" i="1"/>
  <c r="DI44" i="1"/>
  <c r="CK44" i="1"/>
  <c r="BK44" i="1"/>
  <c r="AK44" i="1"/>
  <c r="K44" i="1"/>
  <c r="CX52" i="1"/>
  <c r="BX52" i="1"/>
  <c r="AX52" i="1"/>
  <c r="X52" i="1"/>
  <c r="DI53" i="1"/>
  <c r="CK53" i="1"/>
  <c r="BK53" i="1"/>
  <c r="AK53" i="1"/>
  <c r="K53" i="1"/>
  <c r="K50" i="1"/>
  <c r="AK50" i="1"/>
  <c r="BK50" i="1"/>
  <c r="CK50" i="1"/>
  <c r="AK52" i="1"/>
  <c r="CK52" i="1"/>
  <c r="AB53" i="1"/>
  <c r="AH54" i="1"/>
  <c r="Z54" i="1"/>
  <c r="AB54" i="1"/>
  <c r="BH54" i="1"/>
  <c r="AZ54" i="1"/>
  <c r="BB54" i="1"/>
  <c r="CH54" i="1"/>
  <c r="BZ54" i="1"/>
  <c r="CB54" i="1"/>
  <c r="DH54" i="1"/>
  <c r="CZ54" i="1"/>
  <c r="DB54" i="1"/>
  <c r="DJ54" i="1"/>
  <c r="DJ50" i="1" l="1"/>
  <c r="AH12" i="1"/>
  <c r="DF15" i="1"/>
  <c r="DD11" i="1"/>
  <c r="Q52" i="1"/>
  <c r="CU4" i="1"/>
  <c r="CB53" i="1"/>
  <c r="BZ51" i="1"/>
  <c r="AU51" i="1"/>
  <c r="CU51" i="1"/>
  <c r="AF6" i="1"/>
  <c r="CB15" i="1"/>
  <c r="CH12" i="1"/>
  <c r="CZ26" i="1"/>
  <c r="AB6" i="1"/>
  <c r="Z39" i="1"/>
  <c r="DH26" i="1"/>
  <c r="AH6" i="1"/>
  <c r="AS28" i="1"/>
  <c r="BM13" i="1"/>
  <c r="DD44" i="1"/>
  <c r="DB44" i="1"/>
  <c r="DH12" i="1"/>
  <c r="BH12" i="1"/>
  <c r="AS35" i="1"/>
  <c r="DB12" i="1"/>
  <c r="DD12" i="1"/>
  <c r="AD50" i="1"/>
  <c r="M51" i="1"/>
  <c r="AB33" i="1"/>
  <c r="BU17" i="1"/>
  <c r="DB15" i="1"/>
  <c r="AH50" i="1"/>
  <c r="S52" i="1"/>
  <c r="Z33" i="1"/>
  <c r="CF6" i="1"/>
  <c r="CQ4" i="1"/>
  <c r="DD15" i="1"/>
  <c r="U13" i="1"/>
  <c r="AM17" i="1"/>
  <c r="BZ6" i="1"/>
  <c r="AU16" i="1"/>
  <c r="BU38" i="1"/>
  <c r="S51" i="1"/>
  <c r="O38" i="1"/>
  <c r="AZ16" i="1"/>
  <c r="AD39" i="1"/>
  <c r="AD11" i="1"/>
  <c r="CM4" i="1"/>
  <c r="U7" i="1"/>
  <c r="O17" i="1"/>
  <c r="AQ35" i="1"/>
  <c r="BM38" i="1"/>
  <c r="CZ53" i="1"/>
  <c r="AB39" i="1"/>
  <c r="CZ40" i="1"/>
  <c r="Z11" i="1"/>
  <c r="AM35" i="1"/>
  <c r="BD16" i="1"/>
  <c r="BQ38" i="1"/>
  <c r="S38" i="1"/>
  <c r="AF39" i="1"/>
  <c r="AB30" i="1"/>
  <c r="AH11" i="1"/>
  <c r="CO4" i="1"/>
  <c r="AU35" i="1"/>
  <c r="BO38" i="1"/>
  <c r="AB26" i="1"/>
  <c r="Z26" i="1"/>
  <c r="DB26" i="1"/>
  <c r="DD26" i="1"/>
  <c r="CO12" i="1"/>
  <c r="AQ16" i="1"/>
  <c r="AS16" i="1"/>
  <c r="DB40" i="1"/>
  <c r="S7" i="1"/>
  <c r="AQ28" i="1"/>
  <c r="CD26" i="1"/>
  <c r="CH53" i="1"/>
  <c r="CU12" i="1"/>
  <c r="CF51" i="1"/>
  <c r="AZ40" i="1"/>
  <c r="CZ12" i="1"/>
  <c r="DH40" i="1"/>
  <c r="DB11" i="1"/>
  <c r="AM28" i="1"/>
  <c r="O7" i="1"/>
  <c r="AM16" i="1"/>
  <c r="CD53" i="1"/>
  <c r="CS12" i="1"/>
  <c r="CQ12" i="1"/>
  <c r="DF40" i="1"/>
  <c r="AO28" i="1"/>
  <c r="CZ51" i="1"/>
  <c r="CQ16" i="1"/>
  <c r="AZ7" i="1"/>
  <c r="DB53" i="1"/>
  <c r="Z30" i="1"/>
  <c r="BF7" i="1"/>
  <c r="AH51" i="1"/>
  <c r="DF51" i="1"/>
  <c r="AS51" i="1"/>
  <c r="S12" i="1"/>
  <c r="DH53" i="1"/>
  <c r="DJ7" i="1"/>
  <c r="BZ15" i="1"/>
  <c r="CD5" i="1"/>
  <c r="AB51" i="1"/>
  <c r="BS7" i="1"/>
  <c r="AD51" i="1"/>
  <c r="Z51" i="1"/>
  <c r="BH7" i="1"/>
  <c r="DD53" i="1"/>
  <c r="BQ7" i="1"/>
  <c r="CH51" i="1"/>
  <c r="CD51" i="1"/>
  <c r="AF26" i="1"/>
  <c r="AD26" i="1"/>
  <c r="DF11" i="1"/>
  <c r="CZ11" i="1"/>
  <c r="BF16" i="1"/>
  <c r="BH16" i="1"/>
  <c r="U52" i="1"/>
  <c r="M52" i="1"/>
  <c r="CQ51" i="1"/>
  <c r="CO51" i="1"/>
  <c r="CQ7" i="1"/>
  <c r="CM7" i="1"/>
  <c r="AU38" i="1"/>
  <c r="AQ38" i="1"/>
  <c r="CO16" i="1"/>
  <c r="CS16" i="1"/>
  <c r="CF15" i="1"/>
  <c r="CD15" i="1"/>
  <c r="DB51" i="1"/>
  <c r="DH51" i="1"/>
  <c r="BF15" i="1"/>
  <c r="AZ15" i="1"/>
  <c r="BZ5" i="1"/>
  <c r="CH5" i="1"/>
  <c r="AM51" i="1"/>
  <c r="AO51" i="1"/>
  <c r="AH30" i="1"/>
  <c r="AF30" i="1"/>
  <c r="CU13" i="1"/>
  <c r="BB26" i="1"/>
  <c r="BH26" i="1"/>
  <c r="BH53" i="1"/>
  <c r="AZ53" i="1"/>
  <c r="CM17" i="1"/>
  <c r="CQ17" i="1"/>
  <c r="CS17" i="1"/>
  <c r="Z7" i="1"/>
  <c r="AH7" i="1"/>
  <c r="BB7" i="1"/>
  <c r="BS17" i="1"/>
  <c r="BO17" i="1"/>
  <c r="AO12" i="1"/>
  <c r="AM12" i="1"/>
  <c r="O51" i="1"/>
  <c r="U51" i="1"/>
  <c r="AS4" i="1"/>
  <c r="AM4" i="1"/>
  <c r="AF15" i="1"/>
  <c r="AB15" i="1"/>
  <c r="DD6" i="1"/>
  <c r="DB6" i="1"/>
  <c r="AH33" i="1"/>
  <c r="AD33" i="1"/>
  <c r="Q7" i="1"/>
  <c r="Z6" i="1"/>
  <c r="DF6" i="1"/>
  <c r="CU16" i="1"/>
  <c r="BD12" i="1"/>
  <c r="CF53" i="1"/>
  <c r="DD50" i="1"/>
  <c r="DJ51" i="1"/>
  <c r="BF50" i="1"/>
  <c r="BD50" i="1"/>
  <c r="Z53" i="1"/>
  <c r="AF53" i="1"/>
  <c r="DF16" i="1"/>
  <c r="DB16" i="1"/>
  <c r="AZ51" i="1"/>
  <c r="BB50" i="1"/>
  <c r="AB50" i="1"/>
  <c r="AS38" i="1"/>
  <c r="U38" i="1"/>
  <c r="BD53" i="1"/>
  <c r="AZ12" i="1"/>
  <c r="AQ4" i="1"/>
  <c r="BO7" i="1"/>
  <c r="AU4" i="1"/>
  <c r="AQ17" i="1"/>
  <c r="BB15" i="1"/>
  <c r="Q17" i="1"/>
  <c r="AH15" i="1"/>
  <c r="CB6" i="1"/>
  <c r="AZ26" i="1"/>
  <c r="BU13" i="1"/>
  <c r="AU12" i="1"/>
  <c r="BF51" i="1"/>
  <c r="BD51" i="1"/>
  <c r="DK54" i="1"/>
  <c r="DL54" i="1" s="1"/>
  <c r="AD53" i="1"/>
  <c r="BH50" i="1"/>
  <c r="AF50" i="1"/>
  <c r="AM38" i="1"/>
  <c r="Q38" i="1"/>
  <c r="CZ16" i="1"/>
  <c r="CO17" i="1"/>
  <c r="AO4" i="1"/>
  <c r="AU17" i="1"/>
  <c r="BH15" i="1"/>
  <c r="AD15" i="1"/>
  <c r="CQ13" i="1"/>
  <c r="CH6" i="1"/>
  <c r="BO13" i="1"/>
  <c r="DD16" i="1"/>
  <c r="BB12" i="1"/>
  <c r="BB51" i="1"/>
  <c r="AS12" i="1"/>
  <c r="BU7" i="1"/>
  <c r="S40" i="1"/>
  <c r="U40" i="1"/>
  <c r="AF16" i="1"/>
  <c r="AB16" i="1"/>
  <c r="AD16" i="1"/>
  <c r="AM7" i="1"/>
  <c r="AS7" i="1"/>
  <c r="AU7" i="1"/>
  <c r="CU40" i="1"/>
  <c r="CM40" i="1"/>
  <c r="CF7" i="1"/>
  <c r="CD7" i="1"/>
  <c r="CB7" i="1"/>
  <c r="BB40" i="1"/>
  <c r="BD40" i="1"/>
  <c r="BF40" i="1"/>
  <c r="AQ40" i="1"/>
  <c r="AO40" i="1"/>
  <c r="AS40" i="1"/>
  <c r="O28" i="1"/>
  <c r="M28" i="1"/>
  <c r="DF7" i="1"/>
  <c r="DD7" i="1"/>
  <c r="DB7" i="1"/>
  <c r="BQ40" i="1"/>
  <c r="BO40" i="1"/>
  <c r="BM40" i="1"/>
  <c r="BS40" i="1"/>
  <c r="AF12" i="1"/>
  <c r="AB12" i="1"/>
  <c r="AD12" i="1"/>
  <c r="AB40" i="1"/>
  <c r="AF40" i="1"/>
  <c r="AD40" i="1"/>
  <c r="BO28" i="1"/>
  <c r="BQ28" i="1"/>
  <c r="BS28" i="1"/>
  <c r="O16" i="1"/>
  <c r="DJ16" i="1"/>
  <c r="M16" i="1"/>
  <c r="U16" i="1"/>
  <c r="CF12" i="1"/>
  <c r="CD12" i="1"/>
  <c r="CB12" i="1"/>
  <c r="Q40" i="1"/>
  <c r="M13" i="1"/>
  <c r="AQ7" i="1"/>
  <c r="CB26" i="1"/>
  <c r="AU40" i="1"/>
  <c r="DJ40" i="1"/>
  <c r="U28" i="1"/>
  <c r="Z16" i="1"/>
  <c r="BZ7" i="1"/>
  <c r="BF26" i="1"/>
  <c r="BS13" i="1"/>
  <c r="CS7" i="1"/>
  <c r="AO17" i="1"/>
  <c r="O13" i="1"/>
  <c r="CH26" i="1"/>
  <c r="U17" i="1"/>
  <c r="CM13" i="1"/>
  <c r="CO7" i="1"/>
  <c r="BO16" i="1"/>
  <c r="BU16" i="1"/>
  <c r="BM16" i="1"/>
  <c r="O12" i="1"/>
  <c r="DJ12" i="1"/>
  <c r="M12" i="1"/>
  <c r="U12" i="1"/>
  <c r="AF7" i="1"/>
  <c r="AB7" i="1"/>
  <c r="AD7" i="1"/>
  <c r="CS40" i="1"/>
  <c r="CQ40" i="1"/>
  <c r="M40" i="1"/>
  <c r="Q28" i="1"/>
  <c r="S28" i="1"/>
  <c r="BQ16" i="1"/>
  <c r="AH16" i="1"/>
  <c r="CH7" i="1"/>
  <c r="CU7" i="1"/>
  <c r="Q13" i="1"/>
  <c r="BZ26" i="1"/>
  <c r="M17" i="1"/>
  <c r="CO13" i="1"/>
  <c r="CU52" i="1"/>
  <c r="CM52" i="1"/>
  <c r="CO52" i="1"/>
  <c r="CQ52" i="1"/>
  <c r="CS52" i="1"/>
  <c r="BQ50" i="1"/>
  <c r="BS50" i="1"/>
  <c r="BM50" i="1"/>
  <c r="BO50" i="1"/>
  <c r="BU50" i="1"/>
  <c r="AS53" i="1"/>
  <c r="AU53" i="1"/>
  <c r="AM53" i="1"/>
  <c r="AO53" i="1"/>
  <c r="AQ53" i="1"/>
  <c r="AD52" i="1"/>
  <c r="AF52" i="1"/>
  <c r="AH52" i="1"/>
  <c r="Z52" i="1"/>
  <c r="AB52" i="1"/>
  <c r="AF41" i="1"/>
  <c r="Z41" i="1"/>
  <c r="AB41" i="1"/>
  <c r="AH41" i="1"/>
  <c r="AD41" i="1"/>
  <c r="DJ41" i="1"/>
  <c r="AS44" i="1"/>
  <c r="AU44" i="1"/>
  <c r="AM44" i="1"/>
  <c r="AQ44" i="1"/>
  <c r="AO44" i="1"/>
  <c r="CF38" i="1"/>
  <c r="CH38" i="1"/>
  <c r="BZ38" i="1"/>
  <c r="CD38" i="1"/>
  <c r="CB38" i="1"/>
  <c r="DI42" i="1"/>
  <c r="CK42" i="1"/>
  <c r="BK42" i="1"/>
  <c r="AK42" i="1"/>
  <c r="K42" i="1"/>
  <c r="X42" i="1"/>
  <c r="AX42" i="1"/>
  <c r="CX42" i="1"/>
  <c r="BX42" i="1"/>
  <c r="CH60" i="1"/>
  <c r="BZ60" i="1"/>
  <c r="CB60" i="1"/>
  <c r="CD60" i="1"/>
  <c r="CF60" i="1"/>
  <c r="CB37" i="1"/>
  <c r="BZ37" i="1"/>
  <c r="CD37" i="1"/>
  <c r="CF37" i="1"/>
  <c r="CH37" i="1"/>
  <c r="BS37" i="1"/>
  <c r="BO37" i="1"/>
  <c r="BQ37" i="1"/>
  <c r="BM37" i="1"/>
  <c r="BU37" i="1"/>
  <c r="BU33" i="1"/>
  <c r="BM33" i="1"/>
  <c r="BS33" i="1"/>
  <c r="BQ33" i="1"/>
  <c r="BO33" i="1"/>
  <c r="AU33" i="1"/>
  <c r="AM33" i="1"/>
  <c r="AQ33" i="1"/>
  <c r="AS33" i="1"/>
  <c r="AO33" i="1"/>
  <c r="CS30" i="1"/>
  <c r="CQ30" i="1"/>
  <c r="CU30" i="1"/>
  <c r="CM30" i="1"/>
  <c r="CO30" i="1"/>
  <c r="DH60" i="1"/>
  <c r="CZ60" i="1"/>
  <c r="DB60" i="1"/>
  <c r="DD60" i="1"/>
  <c r="DF60" i="1"/>
  <c r="CQ60" i="1"/>
  <c r="CS60" i="1"/>
  <c r="CU60" i="1"/>
  <c r="CO60" i="1"/>
  <c r="CM60" i="1"/>
  <c r="AS39" i="1"/>
  <c r="AM39" i="1"/>
  <c r="AO39" i="1"/>
  <c r="AQ39" i="1"/>
  <c r="AU39" i="1"/>
  <c r="CO28" i="1"/>
  <c r="CS28" i="1"/>
  <c r="CU28" i="1"/>
  <c r="CM28" i="1"/>
  <c r="CQ28" i="1"/>
  <c r="Q26" i="1"/>
  <c r="M26" i="1"/>
  <c r="S26" i="1"/>
  <c r="DJ26" i="1"/>
  <c r="U26" i="1"/>
  <c r="O26" i="1"/>
  <c r="AD17" i="1"/>
  <c r="AH17" i="1"/>
  <c r="AF17" i="1"/>
  <c r="Z17" i="1"/>
  <c r="AB17" i="1"/>
  <c r="DJ17" i="1"/>
  <c r="Q15" i="1"/>
  <c r="M15" i="1"/>
  <c r="S15" i="1"/>
  <c r="DJ15" i="1"/>
  <c r="U15" i="1"/>
  <c r="O15" i="1"/>
  <c r="CQ11" i="1"/>
  <c r="CU11" i="1"/>
  <c r="CM11" i="1"/>
  <c r="CS11" i="1"/>
  <c r="CO11" i="1"/>
  <c r="CQ6" i="1"/>
  <c r="CS6" i="1"/>
  <c r="CU6" i="1"/>
  <c r="CM6" i="1"/>
  <c r="CO6" i="1"/>
  <c r="DJ52" i="1"/>
  <c r="CU9" i="1"/>
  <c r="CM9" i="1"/>
  <c r="CO9" i="1"/>
  <c r="CQ9" i="1"/>
  <c r="CS9" i="1"/>
  <c r="BB10" i="1"/>
  <c r="BF10" i="1"/>
  <c r="BD10" i="1"/>
  <c r="AZ10" i="1"/>
  <c r="BH10" i="1"/>
  <c r="BD4" i="1"/>
  <c r="BF4" i="1"/>
  <c r="BH4" i="1"/>
  <c r="AZ4" i="1"/>
  <c r="BB4" i="1"/>
  <c r="BU4" i="1"/>
  <c r="BM4" i="1"/>
  <c r="BO4" i="1"/>
  <c r="BQ4" i="1"/>
  <c r="BS4" i="1"/>
  <c r="AB24" i="1"/>
  <c r="AF24" i="1"/>
  <c r="AD24" i="1"/>
  <c r="AH24" i="1"/>
  <c r="Z24" i="1"/>
  <c r="S24" i="1"/>
  <c r="DJ24" i="1"/>
  <c r="U24" i="1"/>
  <c r="M24" i="1"/>
  <c r="O24" i="1"/>
  <c r="Q24" i="1"/>
  <c r="BU35" i="1"/>
  <c r="BM35" i="1"/>
  <c r="BQ35" i="1"/>
  <c r="BS35" i="1"/>
  <c r="BO35" i="1"/>
  <c r="AB14" i="1"/>
  <c r="AD14" i="1"/>
  <c r="AF14" i="1"/>
  <c r="Z14" i="1"/>
  <c r="AH14" i="1"/>
  <c r="BS14" i="1"/>
  <c r="BU14" i="1"/>
  <c r="BM14" i="1"/>
  <c r="BO14" i="1"/>
  <c r="BQ14" i="1"/>
  <c r="BD9" i="1"/>
  <c r="AZ9" i="1"/>
  <c r="BF9" i="1"/>
  <c r="BH9" i="1"/>
  <c r="BB9" i="1"/>
  <c r="DI25" i="1"/>
  <c r="CK25" i="1"/>
  <c r="BK25" i="1"/>
  <c r="AK25" i="1"/>
  <c r="K25" i="1"/>
  <c r="AX25" i="1"/>
  <c r="CX25" i="1"/>
  <c r="BX25" i="1"/>
  <c r="X25" i="1"/>
  <c r="S53" i="1"/>
  <c r="DJ53" i="1"/>
  <c r="U53" i="1"/>
  <c r="M53" i="1"/>
  <c r="O53" i="1"/>
  <c r="Q53" i="1"/>
  <c r="DD52" i="1"/>
  <c r="DF52" i="1"/>
  <c r="CZ52" i="1"/>
  <c r="DB52" i="1"/>
  <c r="DH52" i="1"/>
  <c r="S44" i="1"/>
  <c r="DJ44" i="1"/>
  <c r="U44" i="1"/>
  <c r="M44" i="1"/>
  <c r="O44" i="1"/>
  <c r="Q44" i="1"/>
  <c r="BB44" i="1"/>
  <c r="BD44" i="1"/>
  <c r="BH44" i="1"/>
  <c r="AZ44" i="1"/>
  <c r="BF44" i="1"/>
  <c r="BF38" i="1"/>
  <c r="AZ38" i="1"/>
  <c r="BB38" i="1"/>
  <c r="BH38" i="1"/>
  <c r="BD38" i="1"/>
  <c r="S39" i="1"/>
  <c r="O39" i="1"/>
  <c r="Q39" i="1"/>
  <c r="M39" i="1"/>
  <c r="U39" i="1"/>
  <c r="DJ39" i="1"/>
  <c r="DF41" i="1"/>
  <c r="DB41" i="1"/>
  <c r="DD41" i="1"/>
  <c r="DH41" i="1"/>
  <c r="CZ41" i="1"/>
  <c r="BB30" i="1"/>
  <c r="BH30" i="1"/>
  <c r="BD30" i="1"/>
  <c r="AZ30" i="1"/>
  <c r="BF30" i="1"/>
  <c r="AS37" i="1"/>
  <c r="AQ37" i="1"/>
  <c r="AU37" i="1"/>
  <c r="AM37" i="1"/>
  <c r="AO37" i="1"/>
  <c r="CU33" i="1"/>
  <c r="CM33" i="1"/>
  <c r="CQ33" i="1"/>
  <c r="CO33" i="1"/>
  <c r="CS33" i="1"/>
  <c r="BS30" i="1"/>
  <c r="BU30" i="1"/>
  <c r="BM30" i="1"/>
  <c r="BO30" i="1"/>
  <c r="BQ30" i="1"/>
  <c r="AQ26" i="1"/>
  <c r="AU26" i="1"/>
  <c r="AS26" i="1"/>
  <c r="AM26" i="1"/>
  <c r="AO26" i="1"/>
  <c r="BD17" i="1"/>
  <c r="AZ17" i="1"/>
  <c r="BF17" i="1"/>
  <c r="BH17" i="1"/>
  <c r="BB17" i="1"/>
  <c r="AQ15" i="1"/>
  <c r="AU15" i="1"/>
  <c r="AS15" i="1"/>
  <c r="AM15" i="1"/>
  <c r="AO15" i="1"/>
  <c r="AD13" i="1"/>
  <c r="Z13" i="1"/>
  <c r="AF13" i="1"/>
  <c r="AH13" i="1"/>
  <c r="AB13" i="1"/>
  <c r="Q11" i="1"/>
  <c r="DJ11" i="1"/>
  <c r="U11" i="1"/>
  <c r="M11" i="1"/>
  <c r="S11" i="1"/>
  <c r="O11" i="1"/>
  <c r="Q6" i="1"/>
  <c r="S6" i="1"/>
  <c r="O6" i="1"/>
  <c r="DJ6" i="1"/>
  <c r="U6" i="1"/>
  <c r="M6" i="1"/>
  <c r="DB36" i="1"/>
  <c r="CZ36" i="1"/>
  <c r="DF36" i="1"/>
  <c r="DH36" i="1"/>
  <c r="DD36" i="1"/>
  <c r="CF28" i="1"/>
  <c r="CH28" i="1"/>
  <c r="CB28" i="1"/>
  <c r="BZ28" i="1"/>
  <c r="CD28" i="1"/>
  <c r="AB36" i="1"/>
  <c r="AH36" i="1"/>
  <c r="AF36" i="1"/>
  <c r="Z36" i="1"/>
  <c r="AD36" i="1"/>
  <c r="CS36" i="1"/>
  <c r="CO36" i="1"/>
  <c r="CQ36" i="1"/>
  <c r="CU36" i="1"/>
  <c r="CM36" i="1"/>
  <c r="CB10" i="1"/>
  <c r="CD10" i="1"/>
  <c r="CF10" i="1"/>
  <c r="BZ10" i="1"/>
  <c r="CH10" i="1"/>
  <c r="CS10" i="1"/>
  <c r="CO10" i="1"/>
  <c r="CU10" i="1"/>
  <c r="CM10" i="1"/>
  <c r="CQ10" i="1"/>
  <c r="AD4" i="1"/>
  <c r="AF4" i="1"/>
  <c r="Z4" i="1"/>
  <c r="AH4" i="1"/>
  <c r="AB4" i="1"/>
  <c r="AS5" i="1"/>
  <c r="AU5" i="1"/>
  <c r="AM5" i="1"/>
  <c r="AO5" i="1"/>
  <c r="AQ5" i="1"/>
  <c r="BU9" i="1"/>
  <c r="BM9" i="1"/>
  <c r="BQ9" i="1"/>
  <c r="BO9" i="1"/>
  <c r="BS9" i="1"/>
  <c r="AU9" i="1"/>
  <c r="AM9" i="1"/>
  <c r="AO9" i="1"/>
  <c r="AQ9" i="1"/>
  <c r="AS9" i="1"/>
  <c r="DB24" i="1"/>
  <c r="DD24" i="1"/>
  <c r="DF24" i="1"/>
  <c r="CZ24" i="1"/>
  <c r="DH24" i="1"/>
  <c r="CS24" i="1"/>
  <c r="CU24" i="1"/>
  <c r="CM24" i="1"/>
  <c r="CO24" i="1"/>
  <c r="CQ24" i="1"/>
  <c r="CU35" i="1"/>
  <c r="CM35" i="1"/>
  <c r="CO35" i="1"/>
  <c r="CQ35" i="1"/>
  <c r="CS35" i="1"/>
  <c r="DB14" i="1"/>
  <c r="DF14" i="1"/>
  <c r="DD14" i="1"/>
  <c r="CZ14" i="1"/>
  <c r="DH14" i="1"/>
  <c r="AS14" i="1"/>
  <c r="AO14" i="1"/>
  <c r="AU14" i="1"/>
  <c r="AM14" i="1"/>
  <c r="AQ14" i="1"/>
  <c r="AD9" i="1"/>
  <c r="AH9" i="1"/>
  <c r="AF9" i="1"/>
  <c r="Z9" i="1"/>
  <c r="AB9" i="1"/>
  <c r="CX59" i="1"/>
  <c r="BX59" i="1"/>
  <c r="X59" i="1"/>
  <c r="DI59" i="1"/>
  <c r="BK59" i="1"/>
  <c r="K59" i="1"/>
  <c r="AK59" i="1"/>
  <c r="CK59" i="1"/>
  <c r="Q50" i="1"/>
  <c r="S50" i="1"/>
  <c r="M50" i="1"/>
  <c r="O50" i="1"/>
  <c r="U50" i="1"/>
  <c r="CS53" i="1"/>
  <c r="CU53" i="1"/>
  <c r="CM53" i="1"/>
  <c r="CO53" i="1"/>
  <c r="CQ53" i="1"/>
  <c r="CD52" i="1"/>
  <c r="CF52" i="1"/>
  <c r="CH52" i="1"/>
  <c r="CB52" i="1"/>
  <c r="BZ52" i="1"/>
  <c r="CS44" i="1"/>
  <c r="CU44" i="1"/>
  <c r="CM44" i="1"/>
  <c r="CQ44" i="1"/>
  <c r="CO44" i="1"/>
  <c r="CO38" i="1"/>
  <c r="CS38" i="1"/>
  <c r="CU38" i="1"/>
  <c r="CM38" i="1"/>
  <c r="CQ38" i="1"/>
  <c r="AF38" i="1"/>
  <c r="AB38" i="1"/>
  <c r="AD38" i="1"/>
  <c r="AH38" i="1"/>
  <c r="Z38" i="1"/>
  <c r="DB39" i="1"/>
  <c r="DD39" i="1"/>
  <c r="DF39" i="1"/>
  <c r="CZ39" i="1"/>
  <c r="DH39" i="1"/>
  <c r="AH60" i="1"/>
  <c r="Z60" i="1"/>
  <c r="AB60" i="1"/>
  <c r="AD60" i="1"/>
  <c r="AF60" i="1"/>
  <c r="AX60" i="1" s="1"/>
  <c r="AZ60" i="1" s="1"/>
  <c r="AQ60" i="1"/>
  <c r="AS60" i="1"/>
  <c r="AU60" i="1"/>
  <c r="AM60" i="1"/>
  <c r="AO60" i="1"/>
  <c r="BB39" i="1"/>
  <c r="BH39" i="1"/>
  <c r="AZ39" i="1"/>
  <c r="BD39" i="1"/>
  <c r="BF39" i="1"/>
  <c r="CS39" i="1"/>
  <c r="CQ39" i="1"/>
  <c r="CU39" i="1"/>
  <c r="CM39" i="1"/>
  <c r="CO39" i="1"/>
  <c r="BO41" i="1"/>
  <c r="BS41" i="1"/>
  <c r="BU41" i="1"/>
  <c r="BM41" i="1"/>
  <c r="BQ41" i="1"/>
  <c r="CF41" i="1"/>
  <c r="CD41" i="1"/>
  <c r="CH41" i="1"/>
  <c r="BZ41" i="1"/>
  <c r="CB41" i="1"/>
  <c r="AK34" i="1"/>
  <c r="X34" i="1"/>
  <c r="AX34" i="1"/>
  <c r="DI34" i="1"/>
  <c r="CX34" i="1"/>
  <c r="K34" i="1"/>
  <c r="BX34" i="1"/>
  <c r="CK34" i="1"/>
  <c r="BK34" i="1"/>
  <c r="DB30" i="1"/>
  <c r="DD30" i="1"/>
  <c r="DF30" i="1"/>
  <c r="DH30" i="1"/>
  <c r="CZ30" i="1"/>
  <c r="DB37" i="1"/>
  <c r="DH37" i="1"/>
  <c r="CZ37" i="1"/>
  <c r="DD37" i="1"/>
  <c r="DF37" i="1"/>
  <c r="CD33" i="1"/>
  <c r="CF33" i="1"/>
  <c r="BZ33" i="1"/>
  <c r="CB33" i="1"/>
  <c r="CH33" i="1"/>
  <c r="AS30" i="1"/>
  <c r="AM30" i="1"/>
  <c r="AO30" i="1"/>
  <c r="AQ30" i="1"/>
  <c r="AU30" i="1"/>
  <c r="BQ26" i="1"/>
  <c r="BM26" i="1"/>
  <c r="BS26" i="1"/>
  <c r="BU26" i="1"/>
  <c r="BO26" i="1"/>
  <c r="CD17" i="1"/>
  <c r="CH17" i="1"/>
  <c r="CF17" i="1"/>
  <c r="BZ17" i="1"/>
  <c r="CB17" i="1"/>
  <c r="BQ15" i="1"/>
  <c r="BU15" i="1"/>
  <c r="BM15" i="1"/>
  <c r="BS15" i="1"/>
  <c r="BO15" i="1"/>
  <c r="BD13" i="1"/>
  <c r="BF13" i="1"/>
  <c r="BH13" i="1"/>
  <c r="AZ13" i="1"/>
  <c r="BB13" i="1"/>
  <c r="AQ11" i="1"/>
  <c r="AM11" i="1"/>
  <c r="AS11" i="1"/>
  <c r="AU11" i="1"/>
  <c r="AO11" i="1"/>
  <c r="AQ6" i="1"/>
  <c r="AS6" i="1"/>
  <c r="AM6" i="1"/>
  <c r="AO6" i="1"/>
  <c r="AU6" i="1"/>
  <c r="BF28" i="1"/>
  <c r="AZ28" i="1"/>
  <c r="BD28" i="1"/>
  <c r="BB28" i="1"/>
  <c r="BH28" i="1"/>
  <c r="BB36" i="1"/>
  <c r="BF36" i="1"/>
  <c r="AZ36" i="1"/>
  <c r="BD36" i="1"/>
  <c r="BH36" i="1"/>
  <c r="BS36" i="1"/>
  <c r="BQ36" i="1"/>
  <c r="BM36" i="1"/>
  <c r="BO36" i="1"/>
  <c r="BU36" i="1"/>
  <c r="BB5" i="1"/>
  <c r="BD5" i="1"/>
  <c r="AZ5" i="1"/>
  <c r="BF5" i="1"/>
  <c r="BH5" i="1"/>
  <c r="AB10" i="1"/>
  <c r="AD10" i="1"/>
  <c r="AF10" i="1"/>
  <c r="AH10" i="1"/>
  <c r="Z10" i="1"/>
  <c r="BS10" i="1"/>
  <c r="BU10" i="1"/>
  <c r="BM10" i="1"/>
  <c r="BO10" i="1"/>
  <c r="BQ10" i="1"/>
  <c r="DD4" i="1"/>
  <c r="DF4" i="1"/>
  <c r="DH4" i="1"/>
  <c r="CZ4" i="1"/>
  <c r="DB4" i="1"/>
  <c r="S5" i="1"/>
  <c r="DJ5" i="1"/>
  <c r="U5" i="1"/>
  <c r="M5" i="1"/>
  <c r="O5" i="1"/>
  <c r="Q5" i="1"/>
  <c r="CX20" i="1"/>
  <c r="BX20" i="1"/>
  <c r="AX20" i="1"/>
  <c r="X20" i="1"/>
  <c r="CK20" i="1"/>
  <c r="AK20" i="1"/>
  <c r="K20" i="1"/>
  <c r="DI20" i="1"/>
  <c r="BK20" i="1"/>
  <c r="BB24" i="1"/>
  <c r="BD24" i="1"/>
  <c r="BF24" i="1"/>
  <c r="AZ24" i="1"/>
  <c r="BH24" i="1"/>
  <c r="BS24" i="1"/>
  <c r="BO24" i="1"/>
  <c r="BU24" i="1"/>
  <c r="BM24" i="1"/>
  <c r="BQ24" i="1"/>
  <c r="CD35" i="1"/>
  <c r="CB35" i="1"/>
  <c r="CH35" i="1"/>
  <c r="BZ35" i="1"/>
  <c r="CF35" i="1"/>
  <c r="AD35" i="1"/>
  <c r="AH35" i="1"/>
  <c r="Z35" i="1"/>
  <c r="AB35" i="1"/>
  <c r="AF35" i="1"/>
  <c r="BB14" i="1"/>
  <c r="BF14" i="1"/>
  <c r="BD14" i="1"/>
  <c r="BH14" i="1"/>
  <c r="AZ14" i="1"/>
  <c r="S14" i="1"/>
  <c r="DJ14" i="1"/>
  <c r="U14" i="1"/>
  <c r="M14" i="1"/>
  <c r="O14" i="1"/>
  <c r="Q14" i="1"/>
  <c r="DD9" i="1"/>
  <c r="CZ9" i="1"/>
  <c r="DF9" i="1"/>
  <c r="DH9" i="1"/>
  <c r="DB9" i="1"/>
  <c r="DI18" i="1"/>
  <c r="CK18" i="1"/>
  <c r="BK18" i="1"/>
  <c r="AK18" i="1"/>
  <c r="K18" i="1"/>
  <c r="AX18" i="1"/>
  <c r="X18" i="1"/>
  <c r="CX18" i="1"/>
  <c r="BX18" i="1"/>
  <c r="DJ9" i="1"/>
  <c r="DF28" i="1"/>
  <c r="DD28" i="1"/>
  <c r="CZ28" i="1"/>
  <c r="DH28" i="1"/>
  <c r="DB28" i="1"/>
  <c r="S36" i="1"/>
  <c r="DJ36" i="1"/>
  <c r="M36" i="1"/>
  <c r="Q36" i="1"/>
  <c r="U36" i="1"/>
  <c r="O36" i="1"/>
  <c r="S10" i="1"/>
  <c r="DJ10" i="1"/>
  <c r="U10" i="1"/>
  <c r="M10" i="1"/>
  <c r="O10" i="1"/>
  <c r="Q10" i="1"/>
  <c r="BS5" i="1"/>
  <c r="BU5" i="1"/>
  <c r="BM5" i="1"/>
  <c r="BO5" i="1"/>
  <c r="BQ5" i="1"/>
  <c r="AB5" i="1"/>
  <c r="AD5" i="1"/>
  <c r="AF5" i="1"/>
  <c r="AH5" i="1"/>
  <c r="Z5" i="1"/>
  <c r="DD35" i="1"/>
  <c r="CZ35" i="1"/>
  <c r="DB35" i="1"/>
  <c r="DF35" i="1"/>
  <c r="DH35" i="1"/>
  <c r="CQ50" i="1"/>
  <c r="CS50" i="1"/>
  <c r="CU50" i="1"/>
  <c r="CM50" i="1"/>
  <c r="CO50" i="1"/>
  <c r="BQ60" i="1"/>
  <c r="BS60" i="1"/>
  <c r="BM60" i="1"/>
  <c r="BO60" i="1"/>
  <c r="BU60" i="1"/>
  <c r="AO41" i="1"/>
  <c r="AU41" i="1"/>
  <c r="AM41" i="1"/>
  <c r="AQ41" i="1"/>
  <c r="AS41" i="1"/>
  <c r="BB37" i="1"/>
  <c r="BD37" i="1"/>
  <c r="BF37" i="1"/>
  <c r="BH37" i="1"/>
  <c r="AZ37" i="1"/>
  <c r="AU52" i="1"/>
  <c r="AM52" i="1"/>
  <c r="AO52" i="1"/>
  <c r="AS52" i="1"/>
  <c r="AQ52" i="1"/>
  <c r="AQ50" i="1"/>
  <c r="AS50" i="1"/>
  <c r="AU50" i="1"/>
  <c r="AM50" i="1"/>
  <c r="AO50" i="1"/>
  <c r="BS53" i="1"/>
  <c r="BU53" i="1"/>
  <c r="BM53" i="1"/>
  <c r="BO53" i="1"/>
  <c r="BQ53" i="1"/>
  <c r="BD52" i="1"/>
  <c r="BF52" i="1"/>
  <c r="AZ52" i="1"/>
  <c r="BB52" i="1"/>
  <c r="BH52" i="1"/>
  <c r="BS44" i="1"/>
  <c r="BU44" i="1"/>
  <c r="BM44" i="1"/>
  <c r="BO44" i="1"/>
  <c r="BQ44" i="1"/>
  <c r="DF38" i="1"/>
  <c r="DD38" i="1"/>
  <c r="DH38" i="1"/>
  <c r="DB38" i="1"/>
  <c r="CZ38" i="1"/>
  <c r="Q60" i="1"/>
  <c r="S60" i="1"/>
  <c r="M60" i="1"/>
  <c r="O60" i="1"/>
  <c r="U60" i="1"/>
  <c r="CB39" i="1"/>
  <c r="CF39" i="1"/>
  <c r="CH39" i="1"/>
  <c r="BZ39" i="1"/>
  <c r="CD39" i="1"/>
  <c r="BS39" i="1"/>
  <c r="BU39" i="1"/>
  <c r="BM39" i="1"/>
  <c r="BQ39" i="1"/>
  <c r="BO39" i="1"/>
  <c r="CO41" i="1"/>
  <c r="CQ41" i="1"/>
  <c r="CS41" i="1"/>
  <c r="CU41" i="1"/>
  <c r="CM41" i="1"/>
  <c r="BF41" i="1"/>
  <c r="BH41" i="1"/>
  <c r="AZ41" i="1"/>
  <c r="BD41" i="1"/>
  <c r="BB41" i="1"/>
  <c r="DD33" i="1"/>
  <c r="DB33" i="1"/>
  <c r="CZ33" i="1"/>
  <c r="DF33" i="1"/>
  <c r="DH33" i="1"/>
  <c r="CX43" i="1"/>
  <c r="BX43" i="1"/>
  <c r="AX43" i="1"/>
  <c r="X43" i="1"/>
  <c r="CK43" i="1"/>
  <c r="AK43" i="1"/>
  <c r="BK43" i="1"/>
  <c r="DI43" i="1"/>
  <c r="K43" i="1"/>
  <c r="AB37" i="1"/>
  <c r="AF37" i="1"/>
  <c r="AH37" i="1"/>
  <c r="Z37" i="1"/>
  <c r="AD37" i="1"/>
  <c r="CS37" i="1"/>
  <c r="CM37" i="1"/>
  <c r="CO37" i="1"/>
  <c r="CQ37" i="1"/>
  <c r="CU37" i="1"/>
  <c r="DJ33" i="1"/>
  <c r="U33" i="1"/>
  <c r="M33" i="1"/>
  <c r="O33" i="1"/>
  <c r="Q33" i="1"/>
  <c r="S33" i="1"/>
  <c r="BD33" i="1"/>
  <c r="BH33" i="1"/>
  <c r="BF33" i="1"/>
  <c r="AZ33" i="1"/>
  <c r="BB33" i="1"/>
  <c r="S30" i="1"/>
  <c r="O30" i="1"/>
  <c r="Q30" i="1"/>
  <c r="U30" i="1"/>
  <c r="DJ30" i="1"/>
  <c r="M30" i="1"/>
  <c r="CQ26" i="1"/>
  <c r="CU26" i="1"/>
  <c r="CS26" i="1"/>
  <c r="CM26" i="1"/>
  <c r="CO26" i="1"/>
  <c r="CX23" i="1"/>
  <c r="BX23" i="1"/>
  <c r="AX23" i="1"/>
  <c r="X23" i="1"/>
  <c r="CK23" i="1"/>
  <c r="AK23" i="1"/>
  <c r="DI23" i="1"/>
  <c r="BK23" i="1"/>
  <c r="K23" i="1"/>
  <c r="CQ15" i="1"/>
  <c r="CM15" i="1"/>
  <c r="CS15" i="1"/>
  <c r="CU15" i="1"/>
  <c r="CO15" i="1"/>
  <c r="CD13" i="1"/>
  <c r="CH13" i="1"/>
  <c r="CF13" i="1"/>
  <c r="BZ13" i="1"/>
  <c r="CB13" i="1"/>
  <c r="BQ11" i="1"/>
  <c r="BU11" i="1"/>
  <c r="BS11" i="1"/>
  <c r="BM11" i="1"/>
  <c r="BO11" i="1"/>
  <c r="BQ6" i="1"/>
  <c r="BS6" i="1"/>
  <c r="BO6" i="1"/>
  <c r="BM6" i="1"/>
  <c r="BU6" i="1"/>
  <c r="AF28" i="1"/>
  <c r="AB28" i="1"/>
  <c r="AD28" i="1"/>
  <c r="AH28" i="1"/>
  <c r="DJ28" i="1"/>
  <c r="Z28" i="1"/>
  <c r="AS36" i="1"/>
  <c r="AU36" i="1"/>
  <c r="AM36" i="1"/>
  <c r="AO36" i="1"/>
  <c r="AQ36" i="1"/>
  <c r="DB5" i="1"/>
  <c r="DD5" i="1"/>
  <c r="DF5" i="1"/>
  <c r="DH5" i="1"/>
  <c r="CZ5" i="1"/>
  <c r="DB10" i="1"/>
  <c r="DF10" i="1"/>
  <c r="DD10" i="1"/>
  <c r="DH10" i="1"/>
  <c r="CZ10" i="1"/>
  <c r="AS10" i="1"/>
  <c r="AO10" i="1"/>
  <c r="AU10" i="1"/>
  <c r="AM10" i="1"/>
  <c r="AQ10" i="1"/>
  <c r="CD4" i="1"/>
  <c r="CF4" i="1"/>
  <c r="BZ4" i="1"/>
  <c r="CH4" i="1"/>
  <c r="CB4" i="1"/>
  <c r="CS5" i="1"/>
  <c r="CU5" i="1"/>
  <c r="CM5" i="1"/>
  <c r="CO5" i="1"/>
  <c r="CQ5" i="1"/>
  <c r="DJ4" i="1"/>
  <c r="U4" i="1"/>
  <c r="M4" i="1"/>
  <c r="O4" i="1"/>
  <c r="Q4" i="1"/>
  <c r="S4" i="1"/>
  <c r="CB24" i="1"/>
  <c r="CF24" i="1"/>
  <c r="CD24" i="1"/>
  <c r="BZ24" i="1"/>
  <c r="CH24" i="1"/>
  <c r="AS24" i="1"/>
  <c r="AU24" i="1"/>
  <c r="AM24" i="1"/>
  <c r="AO24" i="1"/>
  <c r="AQ24" i="1"/>
  <c r="BD35" i="1"/>
  <c r="BF35" i="1"/>
  <c r="BB35" i="1"/>
  <c r="BH35" i="1"/>
  <c r="AZ35" i="1"/>
  <c r="DJ35" i="1"/>
  <c r="U35" i="1"/>
  <c r="M35" i="1"/>
  <c r="O35" i="1"/>
  <c r="Q35" i="1"/>
  <c r="S35" i="1"/>
  <c r="CB14" i="1"/>
  <c r="CD14" i="1"/>
  <c r="CF14" i="1"/>
  <c r="BZ14" i="1"/>
  <c r="CH14" i="1"/>
  <c r="CS14" i="1"/>
  <c r="CO14" i="1"/>
  <c r="CU14" i="1"/>
  <c r="CM14" i="1"/>
  <c r="CQ14" i="1"/>
  <c r="CD9" i="1"/>
  <c r="CH9" i="1"/>
  <c r="CF9" i="1"/>
  <c r="BZ9" i="1"/>
  <c r="CB9" i="1"/>
  <c r="DJ38" i="1"/>
  <c r="DK8" i="1"/>
  <c r="DL8" i="1" s="1"/>
  <c r="DJ13" i="1"/>
  <c r="DJ37" i="1"/>
  <c r="DK50" i="1" l="1"/>
  <c r="I65" i="2"/>
  <c r="O65" i="2" s="1"/>
  <c r="V65" i="2"/>
  <c r="I75" i="2"/>
  <c r="O75" i="2" s="1"/>
  <c r="V75" i="2"/>
  <c r="V7" i="2"/>
  <c r="I7" i="2"/>
  <c r="O7" i="2" s="1"/>
  <c r="V87" i="2"/>
  <c r="I87" i="2"/>
  <c r="O87" i="2" s="1"/>
  <c r="V50" i="2"/>
  <c r="I50" i="2"/>
  <c r="O50" i="2" s="1"/>
  <c r="BF60" i="1"/>
  <c r="DK51" i="1"/>
  <c r="DL51" i="1" s="1"/>
  <c r="BD60" i="1"/>
  <c r="BB60" i="1"/>
  <c r="DJ60" i="1"/>
  <c r="BH60" i="1"/>
  <c r="DK7" i="1"/>
  <c r="DL7" i="1" s="1"/>
  <c r="DK16" i="1"/>
  <c r="DL16" i="1" s="1"/>
  <c r="DK40" i="1"/>
  <c r="DL40" i="1" s="1"/>
  <c r="DK12" i="1"/>
  <c r="DL12" i="1" s="1"/>
  <c r="DK52" i="1"/>
  <c r="DL52" i="1" s="1"/>
  <c r="DK33" i="1"/>
  <c r="DL33" i="1" s="1"/>
  <c r="DK37" i="1"/>
  <c r="DL37" i="1" s="1"/>
  <c r="DK9" i="1"/>
  <c r="DK13" i="1"/>
  <c r="DL13" i="1" s="1"/>
  <c r="DK17" i="1"/>
  <c r="DL17" i="1" s="1"/>
  <c r="DK41" i="1"/>
  <c r="DL41" i="1" s="1"/>
  <c r="DK28" i="1"/>
  <c r="DL28" i="1" s="1"/>
  <c r="DK38" i="1"/>
  <c r="DL38" i="1" s="1"/>
  <c r="CF23" i="1"/>
  <c r="CH23" i="1"/>
  <c r="BZ23" i="1"/>
  <c r="CB23" i="1"/>
  <c r="CD23" i="1"/>
  <c r="CD43" i="1"/>
  <c r="CF43" i="1"/>
  <c r="BZ43" i="1"/>
  <c r="CB43" i="1"/>
  <c r="CH43" i="1"/>
  <c r="AO20" i="1"/>
  <c r="AQ20" i="1"/>
  <c r="AS20" i="1"/>
  <c r="AU20" i="1"/>
  <c r="AM20" i="1"/>
  <c r="DH34" i="1"/>
  <c r="CZ34" i="1"/>
  <c r="DB34" i="1"/>
  <c r="DF34" i="1"/>
  <c r="DD34" i="1"/>
  <c r="AD59" i="1"/>
  <c r="AF59" i="1"/>
  <c r="AX59" i="1" s="1"/>
  <c r="AZ59" i="1" s="1"/>
  <c r="Z59" i="1"/>
  <c r="AB59" i="1"/>
  <c r="AH59" i="1"/>
  <c r="BB25" i="1"/>
  <c r="BD25" i="1"/>
  <c r="BF25" i="1"/>
  <c r="AZ25" i="1"/>
  <c r="BH25" i="1"/>
  <c r="DI22" i="1"/>
  <c r="CK22" i="1"/>
  <c r="BK22" i="1"/>
  <c r="AK22" i="1"/>
  <c r="K22" i="1"/>
  <c r="CX22" i="1"/>
  <c r="BX22" i="1"/>
  <c r="X22" i="1"/>
  <c r="AX22" i="1"/>
  <c r="BF23" i="1"/>
  <c r="BB23" i="1"/>
  <c r="BH23" i="1"/>
  <c r="AZ23" i="1"/>
  <c r="BD23" i="1"/>
  <c r="BD43" i="1"/>
  <c r="BF43" i="1"/>
  <c r="BB43" i="1"/>
  <c r="BH43" i="1"/>
  <c r="AZ43" i="1"/>
  <c r="DH18" i="1"/>
  <c r="CZ18" i="1"/>
  <c r="DD18" i="1"/>
  <c r="DB18" i="1"/>
  <c r="DF18" i="1"/>
  <c r="BF20" i="1"/>
  <c r="BB20" i="1"/>
  <c r="BH20" i="1"/>
  <c r="AZ20" i="1"/>
  <c r="BD20" i="1"/>
  <c r="Q34" i="1"/>
  <c r="DJ34" i="1"/>
  <c r="M34" i="1"/>
  <c r="S34" i="1"/>
  <c r="U34" i="1"/>
  <c r="O34" i="1"/>
  <c r="CU59" i="1"/>
  <c r="CM59" i="1"/>
  <c r="CO59" i="1"/>
  <c r="CQ59" i="1"/>
  <c r="CS59" i="1"/>
  <c r="DD59" i="1"/>
  <c r="DF59" i="1"/>
  <c r="DH59" i="1"/>
  <c r="DB59" i="1"/>
  <c r="CZ59" i="1"/>
  <c r="BS25" i="1"/>
  <c r="BO25" i="1"/>
  <c r="BU25" i="1"/>
  <c r="BM25" i="1"/>
  <c r="BQ25" i="1"/>
  <c r="BO23" i="1"/>
  <c r="BS23" i="1"/>
  <c r="BQ23" i="1"/>
  <c r="BM23" i="1"/>
  <c r="BU23" i="1"/>
  <c r="AD43" i="1"/>
  <c r="AF43" i="1"/>
  <c r="Z43" i="1"/>
  <c r="AB43" i="1"/>
  <c r="AH43" i="1"/>
  <c r="DI21" i="1"/>
  <c r="CK21" i="1"/>
  <c r="BK21" i="1"/>
  <c r="AK21" i="1"/>
  <c r="K21" i="1"/>
  <c r="CX21" i="1"/>
  <c r="BX21" i="1"/>
  <c r="AX21" i="1"/>
  <c r="X21" i="1"/>
  <c r="DK4" i="1"/>
  <c r="DL4" i="1" s="1"/>
  <c r="O23" i="1"/>
  <c r="S23" i="1"/>
  <c r="Q23" i="1"/>
  <c r="U23" i="1"/>
  <c r="M23" i="1"/>
  <c r="DJ23" i="1"/>
  <c r="CO23" i="1"/>
  <c r="CQ23" i="1"/>
  <c r="CS23" i="1"/>
  <c r="CM23" i="1"/>
  <c r="CU23" i="1"/>
  <c r="DF23" i="1"/>
  <c r="DB23" i="1"/>
  <c r="DH23" i="1"/>
  <c r="CZ23" i="1"/>
  <c r="DD23" i="1"/>
  <c r="DJ43" i="1"/>
  <c r="U43" i="1"/>
  <c r="M43" i="1"/>
  <c r="O43" i="1"/>
  <c r="S43" i="1"/>
  <c r="Q43" i="1"/>
  <c r="CU43" i="1"/>
  <c r="CM43" i="1"/>
  <c r="CO43" i="1"/>
  <c r="CQ43" i="1"/>
  <c r="CS43" i="1"/>
  <c r="DD43" i="1"/>
  <c r="DF43" i="1"/>
  <c r="DB43" i="1"/>
  <c r="DH43" i="1"/>
  <c r="CZ43" i="1"/>
  <c r="BH18" i="1"/>
  <c r="AZ18" i="1"/>
  <c r="BD18" i="1"/>
  <c r="BB18" i="1"/>
  <c r="BF18" i="1"/>
  <c r="CQ18" i="1"/>
  <c r="CM18" i="1"/>
  <c r="CS18" i="1"/>
  <c r="CU18" i="1"/>
  <c r="CO18" i="1"/>
  <c r="BO20" i="1"/>
  <c r="BS20" i="1"/>
  <c r="BQ20" i="1"/>
  <c r="BM20" i="1"/>
  <c r="BU20" i="1"/>
  <c r="CO20" i="1"/>
  <c r="CQ20" i="1"/>
  <c r="CS20" i="1"/>
  <c r="CM20" i="1"/>
  <c r="CU20" i="1"/>
  <c r="DF20" i="1"/>
  <c r="DB20" i="1"/>
  <c r="DH20" i="1"/>
  <c r="CZ20" i="1"/>
  <c r="DD20" i="1"/>
  <c r="CQ34" i="1"/>
  <c r="CO34" i="1"/>
  <c r="CS34" i="1"/>
  <c r="CU34" i="1"/>
  <c r="CM34" i="1"/>
  <c r="U59" i="1"/>
  <c r="M59" i="1"/>
  <c r="O59" i="1"/>
  <c r="Q59" i="1"/>
  <c r="S59" i="1"/>
  <c r="AB25" i="1"/>
  <c r="AF25" i="1"/>
  <c r="AD25" i="1"/>
  <c r="Z25" i="1"/>
  <c r="AH25" i="1"/>
  <c r="S25" i="1"/>
  <c r="O25" i="1"/>
  <c r="DJ25" i="1"/>
  <c r="U25" i="1"/>
  <c r="M25" i="1"/>
  <c r="Q25" i="1"/>
  <c r="CB42" i="1"/>
  <c r="CD42" i="1"/>
  <c r="CF42" i="1"/>
  <c r="CH42" i="1"/>
  <c r="BZ42" i="1"/>
  <c r="S42" i="1"/>
  <c r="M42" i="1"/>
  <c r="O42" i="1"/>
  <c r="Q42" i="1"/>
  <c r="DJ42" i="1"/>
  <c r="U42" i="1"/>
  <c r="DK11" i="1"/>
  <c r="DL11" i="1" s="1"/>
  <c r="DK24" i="1"/>
  <c r="DL24" i="1" s="1"/>
  <c r="DK15" i="1"/>
  <c r="DL15" i="1" s="1"/>
  <c r="DK14" i="1"/>
  <c r="DL14" i="1" s="1"/>
  <c r="DK10" i="1"/>
  <c r="DL10" i="1" s="1"/>
  <c r="DL50" i="1"/>
  <c r="DK39" i="1"/>
  <c r="DL39" i="1" s="1"/>
  <c r="CX19" i="1"/>
  <c r="BX19" i="1"/>
  <c r="AX19" i="1"/>
  <c r="X19" i="1"/>
  <c r="AK19" i="1"/>
  <c r="BK19" i="1"/>
  <c r="DI19" i="1"/>
  <c r="K19" i="1"/>
  <c r="CK19" i="1"/>
  <c r="F55" i="1"/>
  <c r="AO23" i="1"/>
  <c r="AQ23" i="1"/>
  <c r="AS23" i="1"/>
  <c r="AM23" i="1"/>
  <c r="AU23" i="1"/>
  <c r="AU43" i="1"/>
  <c r="AM43" i="1"/>
  <c r="AO43" i="1"/>
  <c r="AQ43" i="1"/>
  <c r="AS43" i="1"/>
  <c r="AH18" i="1"/>
  <c r="Z18" i="1"/>
  <c r="AB18" i="1"/>
  <c r="AD18" i="1"/>
  <c r="AF18" i="1"/>
  <c r="BQ18" i="1"/>
  <c r="BU18" i="1"/>
  <c r="BS18" i="1"/>
  <c r="BM18" i="1"/>
  <c r="BO18" i="1"/>
  <c r="CF20" i="1"/>
  <c r="CH20" i="1"/>
  <c r="BZ20" i="1"/>
  <c r="CB20" i="1"/>
  <c r="CD20" i="1"/>
  <c r="BQ34" i="1"/>
  <c r="BS34" i="1"/>
  <c r="BM34" i="1"/>
  <c r="BO34" i="1"/>
  <c r="BU34" i="1"/>
  <c r="AQ34" i="1"/>
  <c r="AU34" i="1"/>
  <c r="AM34" i="1"/>
  <c r="AO34" i="1"/>
  <c r="AS34" i="1"/>
  <c r="AU59" i="1"/>
  <c r="AM59" i="1"/>
  <c r="AO59" i="1"/>
  <c r="AQ59" i="1"/>
  <c r="AS59" i="1"/>
  <c r="CS25" i="1"/>
  <c r="CO25" i="1"/>
  <c r="CU25" i="1"/>
  <c r="CM25" i="1"/>
  <c r="CQ25" i="1"/>
  <c r="AB42" i="1"/>
  <c r="AH42" i="1"/>
  <c r="Z42" i="1"/>
  <c r="AD42" i="1"/>
  <c r="AF42" i="1"/>
  <c r="CS42" i="1"/>
  <c r="CO42" i="1"/>
  <c r="CQ42" i="1"/>
  <c r="CM42" i="1"/>
  <c r="CU42" i="1"/>
  <c r="BU43" i="1"/>
  <c r="BM43" i="1"/>
  <c r="BO43" i="1"/>
  <c r="BS43" i="1"/>
  <c r="BQ43" i="1"/>
  <c r="AQ18" i="1"/>
  <c r="AM18" i="1"/>
  <c r="AS18" i="1"/>
  <c r="AU18" i="1"/>
  <c r="AO18" i="1"/>
  <c r="O20" i="1"/>
  <c r="Q20" i="1"/>
  <c r="S20" i="1"/>
  <c r="DJ20" i="1"/>
  <c r="M20" i="1"/>
  <c r="U20" i="1"/>
  <c r="AH34" i="1"/>
  <c r="Z34" i="1"/>
  <c r="AF34" i="1"/>
  <c r="AB34" i="1"/>
  <c r="AD34" i="1"/>
  <c r="DB25" i="1"/>
  <c r="DF25" i="1"/>
  <c r="DD25" i="1"/>
  <c r="DH25" i="1"/>
  <c r="CZ25" i="1"/>
  <c r="BB42" i="1"/>
  <c r="BF42" i="1"/>
  <c r="BH42" i="1"/>
  <c r="AZ42" i="1"/>
  <c r="BD42" i="1"/>
  <c r="BS42" i="1"/>
  <c r="BQ42" i="1"/>
  <c r="BU42" i="1"/>
  <c r="BM42" i="1"/>
  <c r="BO42" i="1"/>
  <c r="AF23" i="1"/>
  <c r="AH23" i="1"/>
  <c r="Z23" i="1"/>
  <c r="AB23" i="1"/>
  <c r="AD23" i="1"/>
  <c r="CH18" i="1"/>
  <c r="BZ18" i="1"/>
  <c r="CB18" i="1"/>
  <c r="CD18" i="1"/>
  <c r="CF18" i="1"/>
  <c r="Q18" i="1"/>
  <c r="U18" i="1"/>
  <c r="S18" i="1"/>
  <c r="DJ18" i="1"/>
  <c r="M18" i="1"/>
  <c r="O18" i="1"/>
  <c r="AF20" i="1"/>
  <c r="AB20" i="1"/>
  <c r="AH20" i="1"/>
  <c r="Z20" i="1"/>
  <c r="AD20" i="1"/>
  <c r="CH34" i="1"/>
  <c r="BZ34" i="1"/>
  <c r="CD34" i="1"/>
  <c r="CB34" i="1"/>
  <c r="CF34" i="1"/>
  <c r="BH34" i="1"/>
  <c r="AZ34" i="1"/>
  <c r="BF34" i="1"/>
  <c r="BB34" i="1"/>
  <c r="BD34" i="1"/>
  <c r="BU59" i="1"/>
  <c r="BM59" i="1"/>
  <c r="BO59" i="1"/>
  <c r="BS59" i="1"/>
  <c r="BQ59" i="1"/>
  <c r="CD59" i="1"/>
  <c r="CF59" i="1"/>
  <c r="BZ59" i="1"/>
  <c r="CB59" i="1"/>
  <c r="CH59" i="1"/>
  <c r="CB25" i="1"/>
  <c r="CF25" i="1"/>
  <c r="CD25" i="1"/>
  <c r="BZ25" i="1"/>
  <c r="CH25" i="1"/>
  <c r="AS25" i="1"/>
  <c r="AU25" i="1"/>
  <c r="AM25" i="1"/>
  <c r="AO25" i="1"/>
  <c r="AQ25" i="1"/>
  <c r="DH42" i="1"/>
  <c r="DB42" i="1"/>
  <c r="CZ42" i="1"/>
  <c r="DD42" i="1"/>
  <c r="DF42" i="1"/>
  <c r="AS42" i="1"/>
  <c r="AU42" i="1"/>
  <c r="AM42" i="1"/>
  <c r="AO42" i="1"/>
  <c r="AQ42" i="1"/>
  <c r="DK36" i="1"/>
  <c r="DL36" i="1" s="1"/>
  <c r="DL9" i="1"/>
  <c r="DK6" i="1"/>
  <c r="DL6" i="1" s="1"/>
  <c r="DK26" i="1"/>
  <c r="DL26" i="1" s="1"/>
  <c r="DK35" i="1"/>
  <c r="DL35" i="1" s="1"/>
  <c r="DK30" i="1"/>
  <c r="DL30" i="1" s="1"/>
  <c r="DK5" i="1"/>
  <c r="DL5" i="1" s="1"/>
  <c r="DK44" i="1"/>
  <c r="DL44" i="1" s="1"/>
  <c r="DK53" i="1"/>
  <c r="DL53" i="1" s="1"/>
  <c r="F62" i="1" l="1"/>
  <c r="BD59" i="1"/>
  <c r="DK60" i="1"/>
  <c r="DL60" i="1" s="1"/>
  <c r="BB59" i="1"/>
  <c r="DJ59" i="1"/>
  <c r="BH59" i="1"/>
  <c r="BF59" i="1"/>
  <c r="DI55" i="1"/>
  <c r="P1" i="2"/>
  <c r="CU19" i="1"/>
  <c r="CM19" i="1"/>
  <c r="CQ19" i="1"/>
  <c r="CO19" i="1"/>
  <c r="CS19" i="1"/>
  <c r="AU19" i="1"/>
  <c r="AM19" i="1"/>
  <c r="AQ19" i="1"/>
  <c r="AO19" i="1"/>
  <c r="AS19" i="1"/>
  <c r="DD19" i="1"/>
  <c r="DH19" i="1"/>
  <c r="DF19" i="1"/>
  <c r="CZ19" i="1"/>
  <c r="DB19" i="1"/>
  <c r="AH21" i="1"/>
  <c r="Z21" i="1"/>
  <c r="AB21" i="1"/>
  <c r="AD21" i="1"/>
  <c r="AF21" i="1"/>
  <c r="Q21" i="1"/>
  <c r="U21" i="1"/>
  <c r="S21" i="1"/>
  <c r="DJ21" i="1"/>
  <c r="M21" i="1"/>
  <c r="O21" i="1"/>
  <c r="AB22" i="1"/>
  <c r="AD22" i="1"/>
  <c r="AF22" i="1"/>
  <c r="AH22" i="1"/>
  <c r="Z22" i="1"/>
  <c r="AS22" i="1"/>
  <c r="AO22" i="1"/>
  <c r="AU22" i="1"/>
  <c r="AM22" i="1"/>
  <c r="AQ22" i="1"/>
  <c r="BU19" i="1"/>
  <c r="BM19" i="1"/>
  <c r="BO19" i="1"/>
  <c r="BQ19" i="1"/>
  <c r="BS19" i="1"/>
  <c r="CD19" i="1"/>
  <c r="BZ19" i="1"/>
  <c r="CF19" i="1"/>
  <c r="CH19" i="1"/>
  <c r="CB19" i="1"/>
  <c r="BX55" i="1"/>
  <c r="DJ19" i="1"/>
  <c r="U19" i="1"/>
  <c r="M19" i="1"/>
  <c r="O19" i="1"/>
  <c r="Q19" i="1"/>
  <c r="S19" i="1"/>
  <c r="K55" i="1"/>
  <c r="AD19" i="1"/>
  <c r="Z19" i="1"/>
  <c r="AF19" i="1"/>
  <c r="AH19" i="1"/>
  <c r="AB19" i="1"/>
  <c r="BH21" i="1"/>
  <c r="AZ21" i="1"/>
  <c r="BD21" i="1"/>
  <c r="BB21" i="1"/>
  <c r="BF21" i="1"/>
  <c r="AQ21" i="1"/>
  <c r="AM21" i="1"/>
  <c r="AS21" i="1"/>
  <c r="AU21" i="1"/>
  <c r="AO21" i="1"/>
  <c r="CB22" i="1"/>
  <c r="CD22" i="1"/>
  <c r="CF22" i="1"/>
  <c r="BZ22" i="1"/>
  <c r="CH22" i="1"/>
  <c r="BS22" i="1"/>
  <c r="BU22" i="1"/>
  <c r="BM22" i="1"/>
  <c r="BO22" i="1"/>
  <c r="BQ22" i="1"/>
  <c r="CX55" i="1"/>
  <c r="BK55" i="1"/>
  <c r="DK18" i="1"/>
  <c r="DL18" i="1" s="1"/>
  <c r="DK20" i="1"/>
  <c r="DL20" i="1" s="1"/>
  <c r="CK55" i="1"/>
  <c r="DK42" i="1"/>
  <c r="DL42" i="1" s="1"/>
  <c r="DK25" i="1"/>
  <c r="DL25" i="1" s="1"/>
  <c r="AK55" i="1"/>
  <c r="X55" i="1"/>
  <c r="DH21" i="1"/>
  <c r="CZ21" i="1"/>
  <c r="DD21" i="1"/>
  <c r="DB21" i="1"/>
  <c r="DF21" i="1"/>
  <c r="CQ21" i="1"/>
  <c r="CM21" i="1"/>
  <c r="CS21" i="1"/>
  <c r="CU21" i="1"/>
  <c r="CO21" i="1"/>
  <c r="BB22" i="1"/>
  <c r="BF22" i="1"/>
  <c r="BD22" i="1"/>
  <c r="AZ22" i="1"/>
  <c r="BH22" i="1"/>
  <c r="S22" i="1"/>
  <c r="DJ22" i="1"/>
  <c r="U22" i="1"/>
  <c r="M22" i="1"/>
  <c r="O22" i="1"/>
  <c r="Q22" i="1"/>
  <c r="BD19" i="1"/>
  <c r="BH19" i="1"/>
  <c r="BF19" i="1"/>
  <c r="AZ19" i="1"/>
  <c r="BB19" i="1"/>
  <c r="AX55" i="1"/>
  <c r="CH21" i="1"/>
  <c r="BZ21" i="1"/>
  <c r="CB21" i="1"/>
  <c r="CD21" i="1"/>
  <c r="CF21" i="1"/>
  <c r="BQ21" i="1"/>
  <c r="BU21" i="1"/>
  <c r="BS21" i="1"/>
  <c r="BM21" i="1"/>
  <c r="BO21" i="1"/>
  <c r="DB22" i="1"/>
  <c r="DD22" i="1"/>
  <c r="DF22" i="1"/>
  <c r="DH22" i="1"/>
  <c r="CZ22" i="1"/>
  <c r="CS22" i="1"/>
  <c r="CU22" i="1"/>
  <c r="CM22" i="1"/>
  <c r="CO22" i="1"/>
  <c r="CQ22" i="1"/>
  <c r="DK23" i="1"/>
  <c r="DL23" i="1" s="1"/>
  <c r="DK34" i="1"/>
  <c r="DL34" i="1" s="1"/>
  <c r="DK43" i="1"/>
  <c r="DL43" i="1" s="1"/>
  <c r="F65" i="1" l="1"/>
  <c r="P1" i="7"/>
  <c r="O1" i="7" s="1"/>
  <c r="DK59" i="1"/>
  <c r="DL59" i="1" s="1"/>
  <c r="BF55" i="1"/>
  <c r="BH55" i="1"/>
  <c r="O1" i="2"/>
  <c r="BQ55" i="1"/>
  <c r="AM55" i="1"/>
  <c r="AH55" i="1"/>
  <c r="DJ55" i="1"/>
  <c r="AB55" i="1"/>
  <c r="CZ55" i="1"/>
  <c r="CQ55" i="1"/>
  <c r="DD55" i="1"/>
  <c r="AQ55" i="1"/>
  <c r="AF55" i="1"/>
  <c r="S55" i="1"/>
  <c r="U55" i="1"/>
  <c r="CH55" i="1"/>
  <c r="BU55" i="1"/>
  <c r="Q55" i="1"/>
  <c r="AO55" i="1"/>
  <c r="CS55" i="1"/>
  <c r="CB55" i="1"/>
  <c r="CD55" i="1"/>
  <c r="AU55" i="1"/>
  <c r="CM55" i="1"/>
  <c r="BO55" i="1"/>
  <c r="AZ55" i="1"/>
  <c r="AS55" i="1"/>
  <c r="AD55" i="1"/>
  <c r="BS55" i="1"/>
  <c r="CU55" i="1"/>
  <c r="M55" i="1"/>
  <c r="BB55" i="1"/>
  <c r="BD55" i="1"/>
  <c r="Z55" i="1"/>
  <c r="DF55" i="1"/>
  <c r="CF55" i="1"/>
  <c r="DH55" i="1"/>
  <c r="CO55" i="1"/>
  <c r="DK21" i="1"/>
  <c r="DL21" i="1" s="1"/>
  <c r="DK19" i="1"/>
  <c r="DL19" i="1" s="1"/>
  <c r="BM55" i="1"/>
  <c r="DK22" i="1"/>
  <c r="DL22" i="1" s="1"/>
  <c r="O55" i="1"/>
  <c r="BZ55" i="1"/>
  <c r="DB55" i="1"/>
  <c r="DK55" i="1" l="1"/>
  <c r="DJ57" i="1" s="1"/>
  <c r="DI57" i="1"/>
  <c r="I58" i="2" l="1"/>
  <c r="O58" i="2" s="1"/>
  <c r="V58" i="2"/>
  <c r="I56" i="2"/>
  <c r="O56" i="2" s="1"/>
  <c r="V56" i="2"/>
  <c r="I55" i="2"/>
  <c r="V55" i="2"/>
  <c r="O55" i="2" l="1"/>
  <c r="H1" i="2"/>
</calcChain>
</file>

<file path=xl/comments1.xml><?xml version="1.0" encoding="utf-8"?>
<comments xmlns="http://schemas.openxmlformats.org/spreadsheetml/2006/main">
  <authors>
    <author>Richard Cornelius</author>
  </authors>
  <commentList>
    <comment ref="D30" authorId="0">
      <text>
        <r>
          <rPr>
            <b/>
            <sz val="9"/>
            <color indexed="81"/>
            <rFont val="Tahoma"/>
            <family val="2"/>
          </rPr>
          <t>Richard Cornelius:</t>
        </r>
        <r>
          <rPr>
            <sz val="9"/>
            <color indexed="81"/>
            <rFont val="Tahoma"/>
            <family val="2"/>
          </rPr>
          <t xml:space="preserve">
At the time, this was based on Copper Scrap at $0.50/lb.
</t>
        </r>
      </text>
    </comment>
  </commentList>
</comments>
</file>

<file path=xl/sharedStrings.xml><?xml version="1.0" encoding="utf-8"?>
<sst xmlns="http://schemas.openxmlformats.org/spreadsheetml/2006/main" count="5560" uniqueCount="307">
  <si>
    <t>Total</t>
  </si>
  <si>
    <t>308 Engineering</t>
  </si>
  <si>
    <t>310 Land and Land Rights</t>
  </si>
  <si>
    <t>311 Structure and Imporvements</t>
  </si>
  <si>
    <t>312 Boiler Plant Equipment</t>
  </si>
  <si>
    <t>314 Turbogenerator Units</t>
  </si>
  <si>
    <t>315 Accesory Electric Equipment</t>
  </si>
  <si>
    <t>316 Miscellaneous Power Plant Equipment</t>
  </si>
  <si>
    <t>343 Prime Movers</t>
  </si>
  <si>
    <t>Tasks</t>
  </si>
  <si>
    <t>Units</t>
  </si>
  <si>
    <t>Quantity</t>
  </si>
  <si>
    <t>Unit Cost</t>
  </si>
  <si>
    <t>Cost</t>
  </si>
  <si>
    <t>%</t>
  </si>
  <si>
    <t xml:space="preserve"> wenada
Total</t>
  </si>
  <si>
    <t>FERC 
Totals</t>
  </si>
  <si>
    <t>Unit Totals</t>
  </si>
  <si>
    <t>check</t>
  </si>
  <si>
    <t>Engineering, Design and Survey Work</t>
  </si>
  <si>
    <t>Design bulkhead for intake and discharge tunnel</t>
  </si>
  <si>
    <t>ls</t>
  </si>
  <si>
    <t>Perform environmental survey of above grade structures</t>
  </si>
  <si>
    <t>Storm Water Prevention Plan</t>
  </si>
  <si>
    <t>General</t>
  </si>
  <si>
    <t>Mob./Demob.</t>
  </si>
  <si>
    <t>Pavement Repairs</t>
  </si>
  <si>
    <t>sf</t>
  </si>
  <si>
    <t>Utility Disconnects</t>
  </si>
  <si>
    <t>Install Bulkhead in Intake &amp; Discharge Tunnel</t>
  </si>
  <si>
    <t>Install Electrical for Decommisioning Work</t>
  </si>
  <si>
    <t>Grade and Seeding</t>
  </si>
  <si>
    <t>Demo</t>
  </si>
  <si>
    <t>nt</t>
  </si>
  <si>
    <t>FE Sales</t>
  </si>
  <si>
    <t>AL Sales</t>
  </si>
  <si>
    <t>lbs</t>
  </si>
  <si>
    <t>CU Sales</t>
  </si>
  <si>
    <t>SS Sales</t>
  </si>
  <si>
    <t>Turbine Foundations Concrete</t>
  </si>
  <si>
    <t>cy</t>
  </si>
  <si>
    <t>Transport &amp;  Dispose of Combustibles</t>
  </si>
  <si>
    <t>ea</t>
  </si>
  <si>
    <t>Process and haul brick, block &amp; Concrete</t>
  </si>
  <si>
    <t>Demo FE</t>
  </si>
  <si>
    <t>Fe Sales</t>
  </si>
  <si>
    <t>Ancillary Buildings</t>
  </si>
  <si>
    <t xml:space="preserve">Demo </t>
  </si>
  <si>
    <t>Sales</t>
  </si>
  <si>
    <t>Universal Wastes, Grease &amp; Oil Removal</t>
  </si>
  <si>
    <t>Dispose of Refractory in Subtitle D Landfill</t>
  </si>
  <si>
    <t>WBS</t>
  </si>
  <si>
    <t>COEL</t>
  </si>
  <si>
    <t>PLTCODE</t>
  </si>
  <si>
    <t>QTY</t>
  </si>
  <si>
    <t>UM</t>
  </si>
  <si>
    <t>RATE</t>
  </si>
  <si>
    <t>VALUE</t>
  </si>
  <si>
    <t>COMMENT</t>
  </si>
  <si>
    <t>MATERIALS</t>
  </si>
  <si>
    <t>CLASSIFICATION</t>
  </si>
  <si>
    <t>BUCKET</t>
  </si>
  <si>
    <t>3040000</t>
  </si>
  <si>
    <t/>
  </si>
  <si>
    <t>CONTINGENCY</t>
  </si>
  <si>
    <t>ECO</t>
  </si>
  <si>
    <t>SCS</t>
  </si>
  <si>
    <t>1LR</t>
  </si>
  <si>
    <t>2LR</t>
  </si>
  <si>
    <t>3LR</t>
  </si>
  <si>
    <t>4LR</t>
  </si>
  <si>
    <t>C</t>
  </si>
  <si>
    <t>CLR</t>
  </si>
  <si>
    <t>NON</t>
  </si>
  <si>
    <t>3070041</t>
  </si>
  <si>
    <t>MY</t>
  </si>
  <si>
    <t>POWER GENERATION SUPERVISION</t>
  </si>
  <si>
    <t>3070201</t>
  </si>
  <si>
    <t>TEMPORARY CONSTRUCTION SERVICES</t>
  </si>
  <si>
    <t>3070201MO</t>
  </si>
  <si>
    <t>LT</t>
  </si>
  <si>
    <t>CONTRACTOR MOBILIZATION</t>
  </si>
  <si>
    <t>BDG</t>
  </si>
  <si>
    <t>3070221</t>
  </si>
  <si>
    <t>SECURITY SERVICES</t>
  </si>
  <si>
    <t>307UND</t>
  </si>
  <si>
    <t>3080241</t>
  </si>
  <si>
    <t>MH</t>
  </si>
  <si>
    <t>SCS ENGINEERING</t>
  </si>
  <si>
    <t>3080241SW</t>
  </si>
  <si>
    <t>GPC ENGINEERING</t>
  </si>
  <si>
    <t>3080268</t>
  </si>
  <si>
    <t>PERMITS</t>
  </si>
  <si>
    <t>3080268EA</t>
  </si>
  <si>
    <t>3080361</t>
  </si>
  <si>
    <t>WRAP-UP AND ALL-RISK INSURANCE</t>
  </si>
  <si>
    <t>3090481</t>
  </si>
  <si>
    <t>ADMINISTRATIVE &amp; GENERAL OVERHEAD</t>
  </si>
  <si>
    <t>3110001LC</t>
  </si>
  <si>
    <t>MARKUP</t>
  </si>
  <si>
    <t>3110061</t>
  </si>
  <si>
    <t>3111002CN</t>
  </si>
  <si>
    <t>1LD</t>
  </si>
  <si>
    <t>Process, haul and backfill brick &amp; block</t>
  </si>
  <si>
    <t>2LD</t>
  </si>
  <si>
    <t>CLD</t>
  </si>
  <si>
    <t>311UND</t>
  </si>
  <si>
    <t>ANCILLARY BUILDINGS - Demo</t>
  </si>
  <si>
    <t>CMS</t>
  </si>
  <si>
    <t>ANCILLARY BUILDINGS - FE SALES</t>
  </si>
  <si>
    <t>STEEL</t>
  </si>
  <si>
    <t>Main Power Block - DEMO</t>
  </si>
  <si>
    <t>1MS</t>
  </si>
  <si>
    <t>Main Power Block - FE Sales</t>
  </si>
  <si>
    <t>2MS</t>
  </si>
  <si>
    <t>312UND</t>
  </si>
  <si>
    <t>Main Power Block - AL Sales</t>
  </si>
  <si>
    <t>ALUMINUM</t>
  </si>
  <si>
    <t>Main Power Block - CU Sales</t>
  </si>
  <si>
    <t>COPPER</t>
  </si>
  <si>
    <t>Main Power Block - SS Sales</t>
  </si>
  <si>
    <t>STAINLESS STEEL</t>
  </si>
  <si>
    <t>Precipitators - DEMO</t>
  </si>
  <si>
    <t>Precipitators - FE Sales</t>
  </si>
  <si>
    <t>314052102</t>
  </si>
  <si>
    <t>314UND</t>
  </si>
  <si>
    <t>Main Power Block - Turbine Foundations Concrete</t>
  </si>
  <si>
    <t>315UND</t>
  </si>
  <si>
    <t>Unit &amp; Service Transformers - CU Sales</t>
  </si>
  <si>
    <t>TRANSFORMER</t>
  </si>
  <si>
    <t>Unit &amp; Service Transformers - Demo</t>
  </si>
  <si>
    <t>Unit &amp; Service Transformers - FE Sales</t>
  </si>
  <si>
    <t>341UND</t>
  </si>
  <si>
    <t>3MS</t>
  </si>
  <si>
    <t>4MS</t>
  </si>
  <si>
    <t>3LD</t>
  </si>
  <si>
    <t>4LD</t>
  </si>
  <si>
    <t>3430000FM</t>
  </si>
  <si>
    <t>SCR DEMO</t>
  </si>
  <si>
    <t>SCR FE SALES</t>
  </si>
  <si>
    <t>SO2 SCRUBBER - Demo FE</t>
  </si>
  <si>
    <t>SO2 SCRUBBER - FE Sales</t>
  </si>
  <si>
    <t>CCATDESC</t>
  </si>
  <si>
    <t>REMOVAL</t>
  </si>
  <si>
    <t>Unit &amp; Service Transformers- CU Sales</t>
  </si>
  <si>
    <t>SALVAGE</t>
  </si>
  <si>
    <t>DISPOSAL</t>
  </si>
  <si>
    <t>1</t>
  </si>
  <si>
    <t>2</t>
  </si>
  <si>
    <t>3</t>
  </si>
  <si>
    <t>4</t>
  </si>
  <si>
    <t>309</t>
  </si>
  <si>
    <t>311</t>
  </si>
  <si>
    <t>308</t>
  </si>
  <si>
    <t>304</t>
  </si>
  <si>
    <t>307</t>
  </si>
  <si>
    <t>343</t>
  </si>
  <si>
    <t>341</t>
  </si>
  <si>
    <t>312</t>
  </si>
  <si>
    <t>314</t>
  </si>
  <si>
    <t>315</t>
  </si>
  <si>
    <t>FERC</t>
  </si>
  <si>
    <t>UNIT</t>
  </si>
  <si>
    <t>Install Electrical for Decommissioning Work</t>
  </si>
  <si>
    <t>Unit &amp; Service Transformers</t>
  </si>
  <si>
    <t>* FE is based on the Nov. 7, 2014 Metal Prices Birmingham P&amp;S 5' &amp; under = $350 / GT</t>
  </si>
  <si>
    <t>* AL is based on Nov. 7, 2014 LME Cash Official = $0.94/lb</t>
  </si>
  <si>
    <t>* CU is baesd on Nov.. 7, 2014 LME Cash Official =  $3.05/lb</t>
  </si>
  <si>
    <t>* SS is based on Nov. 7, 2014 LME 304 (18-8) Scrap Solids Processor = $0.86 / lb</t>
  </si>
  <si>
    <t>*305 SS - is based on Nov. 7, 2014 LME 304 (18-8) Scrap Solids Processor = $0.86 / lb</t>
  </si>
  <si>
    <t>* Transformers is based on Nov. 7, 2014 LME Cash official for CU = $3.05</t>
  </si>
  <si>
    <t>*Ti is based on Nov. 7, 2014 Secondary Market Tin Bearing &gt;85%  = $0.93 / lb</t>
  </si>
  <si>
    <t>* Ad Brass is based of Nov. 7, 2014 Secondary Market Yellow Brass = $2.00</t>
  </si>
  <si>
    <t>* 90-10 CU-NI is based on Nov. 7, 2014 Secondary Market Cupro-Nickel Scrap 90-10 = $2.76</t>
  </si>
  <si>
    <t>*304 SS - is based on Nov. 7, 2014 LME 304 (18-8) Scrap Solids Processor = $0.86 / lb</t>
  </si>
  <si>
    <t>Main Power Block - Condenser Tubes (90-10 CU-NI)</t>
  </si>
  <si>
    <t>Main Power Block - (1) each 1000' Stack (felling)</t>
  </si>
  <si>
    <t>Main Power Block - Demo (2) Hyperbolic Cooling Towers</t>
  </si>
  <si>
    <t>Unit 1-4</t>
  </si>
  <si>
    <t>Units 1, 2, 3 &amp; 4</t>
  </si>
  <si>
    <t>Condenser Tubes (90-10 CU NI)</t>
  </si>
  <si>
    <t>2 each 1000' Stacks</t>
  </si>
  <si>
    <t>4 Hyperbolic Cooling Tower - 560' tall</t>
  </si>
  <si>
    <t>Units 1, 2, 3 &amp; 4 Precipitators</t>
  </si>
  <si>
    <t>Units 1, 2, 3 &amp; 4 SCRs</t>
  </si>
  <si>
    <t>Units 1, 2, 3 &amp; 4 SO2 Scrubber</t>
  </si>
  <si>
    <t>2 - stacks</t>
  </si>
  <si>
    <t>Universal Wastes</t>
  </si>
  <si>
    <t xml:space="preserve">Unit </t>
  </si>
  <si>
    <t>Price</t>
  </si>
  <si>
    <t>2 (ea) 1000' Stacks (felling)</t>
  </si>
  <si>
    <t>Demo (4) Hyperbolic Cooling Towers 560' tall</t>
  </si>
  <si>
    <t>SO2 SCRUBBER - 2 (ea) Stacks</t>
  </si>
  <si>
    <t>SCHERER-NON</t>
  </si>
  <si>
    <t>SCHERER-ECO</t>
  </si>
  <si>
    <t>2% of FERCs 310 and above less "Install Electrical for Decommisioning Work".</t>
  </si>
  <si>
    <t>Units 1, 2, 3 &amp; 4 Baghouses</t>
  </si>
  <si>
    <t>Baghouses - DEMO</t>
  </si>
  <si>
    <t>Baghouses - FE Sales</t>
  </si>
  <si>
    <t>OWNRSHP_PCT</t>
  </si>
  <si>
    <t>OWNER</t>
  </si>
  <si>
    <t>GPC%&gt;</t>
  </si>
  <si>
    <t>&lt;Other%</t>
  </si>
  <si>
    <t>OTHER</t>
  </si>
  <si>
    <t>This survey is used to identify, quantify, and provide contamination information in regards to items such as bottom ash, asbestos, PCB’s, refractory and mortar, universal wastes, caulk, glazing, and expansion joint compounds and lead.</t>
  </si>
  <si>
    <t>Commodity</t>
  </si>
  <si>
    <t>Index Date</t>
  </si>
  <si>
    <t>Index Price</t>
  </si>
  <si>
    <t>Proportional Yield as of Index Date</t>
  </si>
  <si>
    <t>305 SS</t>
  </si>
  <si>
    <t>.65/lb</t>
  </si>
  <si>
    <t>.28/lb</t>
  </si>
  <si>
    <t>Ti</t>
  </si>
  <si>
    <t>.97/lb</t>
  </si>
  <si>
    <t>.64/lb</t>
  </si>
  <si>
    <t>Ad Brass</t>
  </si>
  <si>
    <t>2.24/lb</t>
  </si>
  <si>
    <t>2.36/lb</t>
  </si>
  <si>
    <t>90-10 Cu Ni</t>
  </si>
  <si>
    <t>2.95/lb</t>
  </si>
  <si>
    <t>2.26/lb</t>
  </si>
  <si>
    <t>304 SS</t>
  </si>
  <si>
    <t>.36/lb</t>
  </si>
  <si>
    <t>Fe</t>
  </si>
  <si>
    <t>415/nt</t>
  </si>
  <si>
    <t>306/nt</t>
  </si>
  <si>
    <t>Al</t>
  </si>
  <si>
    <t>.80/lb</t>
  </si>
  <si>
    <t>.45/lb</t>
  </si>
  <si>
    <t>Cu</t>
  </si>
  <si>
    <t>3.35/lb</t>
  </si>
  <si>
    <t>.55/lb</t>
  </si>
  <si>
    <t>Transformers</t>
  </si>
  <si>
    <t>679/nt</t>
  </si>
  <si>
    <t>SS</t>
  </si>
  <si>
    <t>.24/lb</t>
  </si>
  <si>
    <t>CUPRO-NICKEL</t>
  </si>
  <si>
    <t>GULF</t>
  </si>
  <si>
    <t>* FE is based on the Aug. 7, 2015 Metal Prices Birmingham P&amp;S 5' &amp; under = $245 / GT</t>
  </si>
  <si>
    <t>* AL is based on Aug. 18, 2015 LME Cash Official = $0.69/lb</t>
  </si>
  <si>
    <t>* CU is baesd on Aug. 18, 2015 LME Cash Official =  $2.27/lb</t>
  </si>
  <si>
    <t>* SS is based on Aug. 17, 2015 LME 304 (18-8) Scrap Solids Processor = $0.50 / lb</t>
  </si>
  <si>
    <t>*305 SS - is based on Aug. 17, 2014 LME 304 (18-8) Scrap Solids Processor = $0.50 / lb</t>
  </si>
  <si>
    <t>* Transformers is based on Aug. 18, 2015 LME Cash official for CU = $2.27</t>
  </si>
  <si>
    <t>*Ti is based on Aug. 13, 2015 Secondary Market Tin Bearing &gt;85%  = $0.55 / lb</t>
  </si>
  <si>
    <t>* Ad Brass is based of Aug. 14, 2015 Secondary Market Yellow Brass = $1.66</t>
  </si>
  <si>
    <t>* 90-10 CU-NI is based on Aug. 18, 2015 Secondary Market Cupro-Nickel Scrap 90-10 = $2.07</t>
  </si>
  <si>
    <t>*304 SS - is based on Aug. 17, 2015 LME 304 (18-8) Scrap Solids Processor = $0.50 / lb</t>
  </si>
  <si>
    <t>NOTES2015</t>
  </si>
  <si>
    <t>cRATE2015</t>
  </si>
  <si>
    <t>cVALUE2015</t>
  </si>
  <si>
    <t>3110230</t>
  </si>
  <si>
    <t>AC</t>
  </si>
  <si>
    <t>Ash Disposal Pond</t>
  </si>
  <si>
    <t>ASH</t>
  </si>
  <si>
    <t>SCHERER-ASH</t>
  </si>
  <si>
    <t>ADJ Unit</t>
  </si>
  <si>
    <t>Change</t>
  </si>
  <si>
    <t>Historical Links</t>
  </si>
  <si>
    <t>http://www.metalprices.com/historical/database/ferrous-scrap-price-index/fe-spi-5-plate-structural-birmingham</t>
  </si>
  <si>
    <t>LME</t>
  </si>
  <si>
    <t>http://www.metalprices.com/historical/database/aluminum/lme-aluminum-cash-official</t>
  </si>
  <si>
    <t>http://www.metalprices.com/historical/database/copper/lme-copper-cash-official</t>
  </si>
  <si>
    <t>http://www.metalprices.com/historical/database/stainless-steel/stainless-steel-304-s-p</t>
  </si>
  <si>
    <t>http://www.metalprices.com/metal/titanium/titanium-scrap-ferro-ti-quality-turnings-non-tin-bearing-gt-85-ti</t>
  </si>
  <si>
    <t>http://www.metalprices.com/historical/database/brass/brass-yellow-brass</t>
  </si>
  <si>
    <t>http://www.metalprices.com/metal/cupro-nickel/cupro-nickel-c706</t>
  </si>
  <si>
    <t>* FE is based on the 06NOV15, 2015 Metal Prices Birmingham P&amp;S 5' &amp; under = $168 / GT</t>
  </si>
  <si>
    <t>* AL is based on 06NOV15, 2015 LME Cash Official = $0.67/lb</t>
  </si>
  <si>
    <t>* CU is based on 06NOV15, LME Cash Official =  $2.29/lb</t>
  </si>
  <si>
    <t>* SS is based on 06NOV15, LME 304 (18-8) Scrap Solids Processor = $0.44 / lb</t>
  </si>
  <si>
    <t>*305 SS - is based on 06NOV15, LME 304 (18-8) Scrap Solids Processor = $0.44 / lb</t>
  </si>
  <si>
    <t>* Transformers is based on 06NOV15, LME Cash Official =  $2.29/lb</t>
  </si>
  <si>
    <t>*Ti is based on 06NOV15, Secondary Market Tin Bearing &gt;85%  = $0.375 / lb</t>
  </si>
  <si>
    <t>* Ad Brass is based of 06NOV15, Secondary Market Yellow Brass = $1.61</t>
  </si>
  <si>
    <t>* 90-10 CU-NI is based on 06NOV15, Secondary Market Cupro-Nickel Scrap 90-10 = $1.99</t>
  </si>
  <si>
    <t>*304 SS - is based on 06NOV15, LME 304 (18-8) Scrap Solids Processor = $0.44 / lb</t>
  </si>
  <si>
    <t>06NOV15 Scrap Values</t>
  </si>
  <si>
    <t>August '15 Scrap values</t>
  </si>
  <si>
    <t>31DEC16 Scrap Values</t>
  </si>
  <si>
    <t>2015 Costs</t>
  </si>
  <si>
    <t>Note: 2016 Salvage Values were escalated from 2015 based on % from Power Advocate.</t>
  </si>
  <si>
    <t>* Transformers is based on 31DEC15, LME Cash Official =  $2.29/lb</t>
  </si>
  <si>
    <t>Labor Escalation (4Q15 to 4Q16)</t>
  </si>
  <si>
    <t>* FE is based on the 31DEC15, 2015 Metal Prices Birmingham P&amp;S 5' &amp; under = $151.79 / GT and Escalated to 31DEC2016.</t>
  </si>
  <si>
    <t>* AL is based on 31DEC15, 2015 LME Cash Official = $0.68/lb and Escalated to 31DEC2016.</t>
  </si>
  <si>
    <t>* CU is based on 31DEC15, LME Cash Official =  $2.14/lb and Escalated to 31DEC2016.</t>
  </si>
  <si>
    <t>* SS is based on 31DEC15, LME 304 (18-8) Scrap Solids Processor = $0.38 / lb and Escalated to 31DEC2016.</t>
  </si>
  <si>
    <t>*305 SS - is based on 31DEC15, LME 304 (18-8) Scrap Solids Processor = $0.38 / lb and Escalated to 31DEC2016.</t>
  </si>
  <si>
    <t>*Ti is based on 31DEC15, Secondary Market Tin Bearing &gt;85%  = $0..25/ lb and Escalated to 31DEC2016.</t>
  </si>
  <si>
    <t>* Ad Brass is based of 31DEC15, Secondary Market Yellow Brass = $1.51 and Escalated to 31DEC2016.</t>
  </si>
  <si>
    <t>* 90-10 CU-NI is based on 31DEC15, Secondary Market Cupro-Nickel Scrap 90-10 = $1.87 and Escalated to 31DEC2016.</t>
  </si>
  <si>
    <t>*304 SS - is based on 31DEC15, LME 304 (18-8) Scrap Solids Processor = $0.38 / lb and Escalated to 31DEC2016.</t>
  </si>
  <si>
    <t>NOTES2016</t>
  </si>
  <si>
    <t>cRATE2016</t>
  </si>
  <si>
    <t>cVALUE2016</t>
  </si>
  <si>
    <t>Scrap Market Values (MetalPrices.com) as projected to 31DEC16.</t>
  </si>
  <si>
    <t>SCHERER-ECOB</t>
  </si>
  <si>
    <t>SCHERER-ECOF</t>
  </si>
  <si>
    <t>SCHERER-ECOS</t>
  </si>
  <si>
    <t>Indirects for Baghouse were put into Unit 3; No Common per GULF.</t>
  </si>
  <si>
    <t>Indirects for FGD were put into Unit 3; No Common per GULF.</t>
  </si>
  <si>
    <t>Indirects for SCR were put into Unit 3; No Common per GULF.</t>
  </si>
  <si>
    <t>Scherer Ash Pond</t>
  </si>
  <si>
    <t>Scherer CD Landfill</t>
  </si>
  <si>
    <t>Scherer Gypsum Storage Cell</t>
  </si>
  <si>
    <t>Scherer PAC/Ash Cell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</si>
</sst>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Red]\-#,##0"/>
    <numFmt numFmtId="167" formatCode="&quot;$&quot;#,##0;[Red]\-&quot;$&quot;#,##0"/>
    <numFmt numFmtId="168" formatCode="&quot;$&quot;#,##0;[Red]&quot;$&quot;#,##0"/>
    <numFmt numFmtId="169" formatCode="#,##0;[Red]#,##0"/>
    <numFmt numFmtId="170" formatCode="_(* #,##0_);_(* \(#,##0\);_(* &quot;-&quot;??_);_(@_)"/>
    <numFmt numFmtId="171" formatCode="_(* #,##0.0_);_(* \(#,##0.0\);_(* &quot;-&quot;??_);_(@_)"/>
    <numFmt numFmtId="172" formatCode="#,##0.0"/>
    <numFmt numFmtId="173" formatCode="_(&quot;$&quot;* #,##0.0000_);_(&quot;$&quot;* \(#,##0.0000\);_(&quot;$&quot;* &quot;-&quot;??_);_(@_)"/>
    <numFmt numFmtId="174" formatCode="0.000%"/>
    <numFmt numFmtId="175" formatCode="#,##0.0000_);[Red]\(#,##0.0000\)"/>
    <numFmt numFmtId="176"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8"/>
      <name val="Arial"/>
      <family val="2"/>
    </font>
    <font>
      <sz val="10"/>
      <name val="Arial"/>
      <family val="2"/>
    </font>
    <font>
      <sz val="10"/>
      <name val="MS Sans Serif"/>
      <family val="2"/>
    </font>
    <font>
      <sz val="10"/>
      <name val="Times New Roman"/>
      <family val="1"/>
    </font>
    <font>
      <b/>
      <sz val="8"/>
      <name val="Arial"/>
      <family val="2"/>
    </font>
    <font>
      <b/>
      <sz val="11"/>
      <color rgb="FF000000"/>
      <name val="Calibri"/>
      <family val="2"/>
    </font>
    <font>
      <sz val="11"/>
      <color rgb="FF000000"/>
      <name val="Calibri"/>
      <family val="2"/>
    </font>
    <font>
      <sz val="10"/>
      <name val="Arial"/>
      <family val="2"/>
    </font>
    <font>
      <sz val="11"/>
      <color rgb="FF000000"/>
      <name val="Calibri"/>
      <family val="2"/>
    </font>
    <font>
      <b/>
      <sz val="11"/>
      <color rgb="FFFF0000"/>
      <name val="Calibri"/>
      <family val="2"/>
      <scheme val="minor"/>
    </font>
    <font>
      <b/>
      <sz val="9"/>
      <color indexed="81"/>
      <name val="Tahoma"/>
      <family val="2"/>
    </font>
    <font>
      <sz val="9"/>
      <color indexed="81"/>
      <name val="Tahoma"/>
      <family val="2"/>
    </font>
    <font>
      <b/>
      <u/>
      <sz val="11"/>
      <color theme="1"/>
      <name val="Calibri"/>
      <family val="2"/>
      <scheme val="minor"/>
    </font>
    <font>
      <u/>
      <sz val="11"/>
      <color theme="10"/>
      <name val="Calibri"/>
      <family val="2"/>
      <scheme val="minor"/>
    </font>
    <font>
      <b/>
      <sz val="10"/>
      <color rgb="FFFF0000"/>
      <name val="Arial"/>
      <family val="2"/>
    </font>
  </fonts>
  <fills count="1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
      <patternFill patternType="solid">
        <fgColor indexed="15"/>
        <bgColor indexed="64"/>
      </patternFill>
    </fill>
    <fill>
      <patternFill patternType="solid">
        <fgColor indexed="27"/>
        <bgColor indexed="64"/>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rgb="FFC0C0C0"/>
        <bgColor rgb="FFC0C0C0"/>
      </patternFill>
    </fill>
    <fill>
      <patternFill patternType="solid">
        <fgColor rgb="FFFFFF00"/>
        <bgColor rgb="FFC0C0C0"/>
      </patternFill>
    </fill>
    <fill>
      <patternFill patternType="solid">
        <fgColor rgb="FF92D05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2" tint="-0.749992370372631"/>
        <bgColor indexed="64"/>
      </patternFill>
    </fill>
  </fills>
  <borders count="20">
    <border>
      <left/>
      <right/>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55">
    <xf numFmtId="0" fontId="0" fillId="0" borderId="0"/>
    <xf numFmtId="166" fontId="4" fillId="0" borderId="9">
      <alignment horizontal="right" vertical="top" wrapText="1"/>
    </xf>
    <xf numFmtId="166" fontId="4" fillId="4" borderId="9">
      <alignment horizontal="right" vertical="top" wrapText="1"/>
    </xf>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7" fontId="4" fillId="5" borderId="9">
      <alignment horizontal="right" vertical="top" wrapText="1"/>
    </xf>
    <xf numFmtId="167" fontId="4" fillId="0" borderId="9">
      <alignment horizontal="right" vertical="top" wrapText="1"/>
    </xf>
    <xf numFmtId="167" fontId="4" fillId="0" borderId="7">
      <alignment vertical="top"/>
      <protection locked="0"/>
    </xf>
    <xf numFmtId="44" fontId="1" fillId="0" borderId="0" applyFont="0" applyFill="0" applyBorder="0" applyAlignment="0" applyProtection="0"/>
    <xf numFmtId="8" fontId="6" fillId="0" borderId="0" applyFont="0" applyFill="0" applyBorder="0" applyAlignment="0" applyProtection="0"/>
    <xf numFmtId="44" fontId="5" fillId="0" borderId="0" applyFont="0" applyFill="0" applyBorder="0" applyAlignment="0" applyProtection="0"/>
    <xf numFmtId="166" fontId="4" fillId="0" borderId="7">
      <alignment vertical="top"/>
      <protection locked="0"/>
    </xf>
    <xf numFmtId="166" fontId="4" fillId="6" borderId="7">
      <alignment vertical="top"/>
      <protection locked="0"/>
    </xf>
    <xf numFmtId="166" fontId="4" fillId="0" borderId="9">
      <alignment vertical="top"/>
    </xf>
    <xf numFmtId="166" fontId="4" fillId="7" borderId="9">
      <alignment vertical="top"/>
    </xf>
    <xf numFmtId="166" fontId="4" fillId="0" borderId="9">
      <alignment vertical="top"/>
    </xf>
    <xf numFmtId="166" fontId="4" fillId="0" borderId="7">
      <alignment vertical="top" wrapText="1"/>
      <protection locked="0"/>
    </xf>
    <xf numFmtId="0" fontId="1" fillId="0" borderId="0"/>
    <xf numFmtId="0" fontId="1" fillId="0" borderId="0"/>
    <xf numFmtId="0" fontId="7" fillId="0" borderId="0"/>
    <xf numFmtId="0" fontId="5" fillId="0" borderId="0"/>
    <xf numFmtId="0" fontId="6"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166" fontId="8" fillId="0" borderId="0">
      <alignment vertical="top"/>
    </xf>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168" fontId="8" fillId="8" borderId="10">
      <alignment horizontal="right"/>
      <protection locked="0"/>
    </xf>
    <xf numFmtId="169" fontId="4" fillId="9" borderId="9">
      <alignment horizontal="right" vertical="top" wrapText="1"/>
    </xf>
    <xf numFmtId="169" fontId="4" fillId="0" borderId="9">
      <alignment horizontal="right" vertical="top" wrapText="1"/>
    </xf>
    <xf numFmtId="166" fontId="4" fillId="0" borderId="7">
      <alignment vertical="top"/>
      <protection locked="0"/>
    </xf>
    <xf numFmtId="167" fontId="4" fillId="10" borderId="9">
      <alignment horizontal="right" vertical="top" wrapText="1"/>
    </xf>
    <xf numFmtId="167" fontId="4" fillId="0" borderId="9">
      <alignment horizontal="right" vertical="top" wrapText="1"/>
    </xf>
    <xf numFmtId="167" fontId="4" fillId="0" borderId="7">
      <alignment vertical="top"/>
      <protection locked="0"/>
    </xf>
    <xf numFmtId="43" fontId="1" fillId="0" borderId="0" applyFont="0" applyFill="0" applyBorder="0" applyAlignment="0" applyProtection="0"/>
    <xf numFmtId="44" fontId="1" fillId="0" borderId="0" applyFont="0" applyFill="0" applyBorder="0" applyAlignment="0" applyProtection="0"/>
    <xf numFmtId="0" fontId="5" fillId="0" borderId="0"/>
    <xf numFmtId="0" fontId="11" fillId="0" borderId="0"/>
    <xf numFmtId="9" fontId="1" fillId="0" borderId="0" applyFont="0" applyFill="0" applyBorder="0" applyAlignment="0" applyProtection="0"/>
    <xf numFmtId="0" fontId="17" fillId="0" borderId="0" applyNumberFormat="0" applyFill="0" applyBorder="0" applyAlignment="0" applyProtection="0"/>
  </cellStyleXfs>
  <cellXfs count="242">
    <xf numFmtId="0" fontId="0" fillId="0" borderId="0" xfId="0"/>
    <xf numFmtId="0" fontId="2" fillId="0" borderId="0" xfId="0" applyFont="1" applyProtection="1">
      <protection locked="0"/>
    </xf>
    <xf numFmtId="0" fontId="0" fillId="0" borderId="0" xfId="0" applyFont="1" applyProtection="1">
      <protection locked="0"/>
    </xf>
    <xf numFmtId="0" fontId="2" fillId="2" borderId="0" xfId="0" applyFont="1" applyFill="1" applyBorder="1" applyAlignment="1"/>
    <xf numFmtId="0" fontId="2" fillId="2" borderId="2" xfId="0" applyFont="1" applyFill="1" applyBorder="1" applyAlignment="1">
      <alignment horizontal="center"/>
    </xf>
    <xf numFmtId="0" fontId="0" fillId="0" borderId="2" xfId="0" applyBorder="1"/>
    <xf numFmtId="6" fontId="0" fillId="0" borderId="0" xfId="0" applyNumberFormat="1" applyAlignment="1">
      <alignment horizontal="right"/>
    </xf>
    <xf numFmtId="0" fontId="0" fillId="0" borderId="0" xfId="0" applyFont="1" applyAlignment="1" applyProtection="1">
      <alignment horizontal="right"/>
      <protection locked="0"/>
    </xf>
    <xf numFmtId="0" fontId="2" fillId="0" borderId="0" xfId="0" applyFont="1" applyAlignment="1" applyProtection="1">
      <alignment wrapText="1"/>
      <protection locked="0"/>
    </xf>
    <xf numFmtId="0" fontId="0" fillId="0" borderId="0" xfId="0" applyFont="1" applyAlignment="1" applyProtection="1">
      <alignment wrapText="1"/>
      <protection locked="0"/>
    </xf>
    <xf numFmtId="0" fontId="0" fillId="2" borderId="0" xfId="0" applyFill="1" applyBorder="1" applyAlignment="1">
      <alignment wrapText="1"/>
    </xf>
    <xf numFmtId="0" fontId="2" fillId="0" borderId="4" xfId="0" quotePrefix="1" applyFont="1" applyBorder="1" applyAlignment="1" applyProtection="1">
      <alignment horizontal="center" wrapText="1"/>
      <protection locked="0"/>
    </xf>
    <xf numFmtId="0" fontId="0" fillId="0" borderId="5" xfId="0"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6" fontId="0" fillId="0" borderId="0" xfId="0" applyNumberFormat="1" applyFont="1" applyAlignment="1" applyProtection="1">
      <alignment horizontal="right" wrapText="1"/>
      <protection locked="0"/>
    </xf>
    <xf numFmtId="0" fontId="0" fillId="0" borderId="0" xfId="0" applyFont="1" applyAlignment="1" applyProtection="1">
      <alignment horizontal="right" wrapText="1"/>
      <protection locked="0"/>
    </xf>
    <xf numFmtId="0" fontId="2" fillId="0" borderId="0" xfId="0" applyFont="1" applyAlignment="1" applyProtection="1">
      <alignment horizontal="center" wrapText="1"/>
      <protection locked="0"/>
    </xf>
    <xf numFmtId="0" fontId="2" fillId="0" borderId="7" xfId="0" applyFont="1" applyBorder="1" applyAlignment="1" applyProtection="1">
      <alignment horizontal="center" wrapText="1"/>
      <protection locked="0"/>
    </xf>
    <xf numFmtId="3" fontId="2" fillId="0" borderId="7" xfId="0" applyNumberFormat="1" applyFont="1" applyBorder="1" applyAlignment="1" applyProtection="1">
      <alignment horizontal="center" wrapText="1"/>
      <protection locked="0"/>
    </xf>
    <xf numFmtId="164" fontId="2" fillId="0" borderId="7" xfId="0" applyNumberFormat="1" applyFont="1" applyBorder="1" applyAlignment="1" applyProtection="1">
      <alignment horizontal="center" wrapText="1"/>
      <protection locked="0"/>
    </xf>
    <xf numFmtId="6" fontId="2" fillId="0" borderId="7" xfId="0" applyNumberFormat="1" applyFont="1" applyBorder="1" applyAlignment="1" applyProtection="1">
      <alignment horizontal="center" wrapText="1"/>
      <protection locked="0"/>
    </xf>
    <xf numFmtId="6" fontId="2" fillId="2" borderId="3" xfId="0" applyNumberFormat="1" applyFont="1" applyFill="1" applyBorder="1" applyAlignment="1" applyProtection="1">
      <alignment horizontal="center" wrapText="1"/>
      <protection locked="0"/>
    </xf>
    <xf numFmtId="9" fontId="2" fillId="0" borderId="3" xfId="0" applyNumberFormat="1" applyFont="1" applyFill="1" applyBorder="1" applyAlignment="1" applyProtection="1">
      <alignment horizontal="center" wrapText="1"/>
      <protection locked="0"/>
    </xf>
    <xf numFmtId="0" fontId="2" fillId="0" borderId="0" xfId="0" applyFont="1" applyBorder="1" applyAlignment="1" applyProtection="1">
      <alignment horizontal="center" wrapText="1"/>
      <protection locked="0"/>
    </xf>
    <xf numFmtId="9" fontId="2" fillId="0" borderId="3" xfId="0" applyNumberFormat="1"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6" fontId="2" fillId="0" borderId="0" xfId="0" applyNumberFormat="1" applyFont="1" applyAlignment="1" applyProtection="1">
      <alignment horizontal="center" wrapText="1"/>
      <protection locked="0"/>
    </xf>
    <xf numFmtId="0" fontId="2" fillId="0" borderId="0" xfId="0" applyFont="1" applyAlignment="1" applyProtection="1">
      <alignment horizontal="right" wrapText="1"/>
      <protection locked="0"/>
    </xf>
    <xf numFmtId="0" fontId="2" fillId="0" borderId="0" xfId="0" applyFont="1" applyAlignment="1" applyProtection="1">
      <alignment horizontal="left"/>
      <protection locked="0"/>
    </xf>
    <xf numFmtId="0" fontId="2" fillId="0" borderId="9" xfId="0" applyFont="1" applyBorder="1" applyAlignment="1" applyProtection="1">
      <alignment horizontal="center" wrapText="1"/>
      <protection locked="0"/>
    </xf>
    <xf numFmtId="3" fontId="0" fillId="0" borderId="9" xfId="0" applyNumberFormat="1" applyFont="1" applyBorder="1" applyAlignment="1" applyProtection="1">
      <alignment horizontal="right" wrapText="1"/>
      <protection locked="0"/>
    </xf>
    <xf numFmtId="164" fontId="0" fillId="0" borderId="9" xfId="0" applyNumberFormat="1" applyFont="1" applyBorder="1" applyAlignment="1" applyProtection="1">
      <alignment horizontal="center" wrapText="1"/>
      <protection locked="0"/>
    </xf>
    <xf numFmtId="6" fontId="0" fillId="0" borderId="9" xfId="0" applyNumberFormat="1" applyFont="1" applyBorder="1" applyProtection="1">
      <protection locked="0"/>
    </xf>
    <xf numFmtId="6" fontId="0" fillId="2" borderId="3" xfId="0" applyNumberFormat="1" applyFont="1" applyFill="1" applyBorder="1" applyAlignment="1" applyProtection="1">
      <alignment horizontal="right" wrapText="1"/>
      <protection locked="0"/>
    </xf>
    <xf numFmtId="9" fontId="0" fillId="0" borderId="3" xfId="0" applyNumberFormat="1" applyFont="1" applyBorder="1" applyAlignment="1" applyProtection="1">
      <alignment horizontal="center" wrapText="1"/>
      <protection locked="0"/>
    </xf>
    <xf numFmtId="6" fontId="0" fillId="0" borderId="9" xfId="0" applyNumberFormat="1" applyFont="1" applyBorder="1" applyAlignment="1" applyProtection="1">
      <alignment horizontal="center"/>
      <protection locked="0"/>
    </xf>
    <xf numFmtId="9" fontId="0" fillId="0" borderId="3" xfId="0" applyNumberFormat="1" applyFont="1" applyBorder="1" applyAlignment="1" applyProtection="1">
      <alignment horizontal="center" wrapText="1"/>
    </xf>
    <xf numFmtId="6" fontId="0" fillId="0" borderId="9" xfId="0" applyNumberFormat="1" applyFont="1" applyBorder="1" applyAlignment="1" applyProtection="1">
      <alignment horizontal="right"/>
      <protection locked="0"/>
    </xf>
    <xf numFmtId="6" fontId="0" fillId="2" borderId="3" xfId="0" applyNumberFormat="1" applyFont="1" applyFill="1" applyBorder="1" applyAlignment="1" applyProtection="1">
      <alignment horizontal="right"/>
      <protection locked="0"/>
    </xf>
    <xf numFmtId="6" fontId="2" fillId="0" borderId="0" xfId="0" applyNumberFormat="1" applyFont="1" applyAlignment="1" applyProtection="1">
      <alignment horizontal="right" wrapText="1"/>
      <protection locked="0"/>
    </xf>
    <xf numFmtId="0" fontId="0" fillId="0" borderId="9" xfId="0" applyBorder="1" applyAlignment="1" applyProtection="1">
      <alignment horizontal="center"/>
      <protection locked="0"/>
    </xf>
    <xf numFmtId="3" fontId="0" fillId="0" borderId="9" xfId="0" applyNumberFormat="1" applyFont="1" applyBorder="1" applyProtection="1">
      <protection locked="0"/>
    </xf>
    <xf numFmtId="0" fontId="0" fillId="0" borderId="0" xfId="0" applyProtection="1">
      <protection locked="0"/>
    </xf>
    <xf numFmtId="0" fontId="0" fillId="0" borderId="9" xfId="0" applyFont="1" applyBorder="1" applyAlignment="1" applyProtection="1">
      <alignment horizontal="center"/>
      <protection locked="0"/>
    </xf>
    <xf numFmtId="0" fontId="0" fillId="0" borderId="0" xfId="0" applyAlignment="1" applyProtection="1">
      <alignment horizontal="left"/>
      <protection locked="0"/>
    </xf>
    <xf numFmtId="8" fontId="0" fillId="0" borderId="9" xfId="0" applyNumberFormat="1" applyFont="1" applyBorder="1" applyProtection="1">
      <protection locked="0"/>
    </xf>
    <xf numFmtId="0" fontId="0" fillId="0" borderId="0" xfId="0" applyFill="1" applyAlignment="1" applyProtection="1">
      <alignment horizontal="left"/>
      <protection locked="0"/>
    </xf>
    <xf numFmtId="165" fontId="0" fillId="0" borderId="9" xfId="0" applyNumberFormat="1" applyFont="1" applyBorder="1" applyProtection="1">
      <protection locked="0"/>
    </xf>
    <xf numFmtId="164" fontId="0" fillId="0" borderId="9" xfId="0" applyNumberFormat="1" applyFont="1" applyBorder="1" applyProtection="1">
      <protection locked="0"/>
    </xf>
    <xf numFmtId="0" fontId="0" fillId="0" borderId="0" xfId="0" applyFont="1" applyAlignment="1" applyProtection="1">
      <alignment horizontal="left"/>
      <protection locked="0"/>
    </xf>
    <xf numFmtId="9" fontId="0" fillId="0" borderId="3" xfId="0" applyNumberFormat="1" applyBorder="1" applyAlignment="1" applyProtection="1">
      <alignment horizontal="center" wrapText="1"/>
    </xf>
    <xf numFmtId="3" fontId="0" fillId="0" borderId="9" xfId="0" applyNumberFormat="1" applyFont="1" applyFill="1" applyBorder="1" applyProtection="1">
      <protection locked="0"/>
    </xf>
    <xf numFmtId="0" fontId="0" fillId="0" borderId="0" xfId="0" applyBorder="1" applyAlignment="1" applyProtection="1">
      <alignment horizontal="center"/>
      <protection locked="0"/>
    </xf>
    <xf numFmtId="6" fontId="0" fillId="2" borderId="0" xfId="0" applyNumberFormat="1" applyFont="1" applyFill="1" applyBorder="1" applyAlignment="1" applyProtection="1">
      <alignment horizontal="right"/>
      <protection locked="0"/>
    </xf>
    <xf numFmtId="9" fontId="0" fillId="0" borderId="0" xfId="0" applyNumberFormat="1" applyFont="1" applyBorder="1" applyAlignment="1" applyProtection="1">
      <alignment horizontal="center" wrapText="1"/>
      <protection locked="0"/>
    </xf>
    <xf numFmtId="9" fontId="0" fillId="0" borderId="0" xfId="0" applyNumberFormat="1" applyFont="1" applyBorder="1" applyAlignment="1" applyProtection="1">
      <alignment horizontal="center" wrapText="1"/>
    </xf>
    <xf numFmtId="0" fontId="2" fillId="3" borderId="0" xfId="0" applyFont="1" applyFill="1" applyProtection="1">
      <protection locked="0"/>
    </xf>
    <xf numFmtId="0" fontId="0" fillId="3" borderId="0" xfId="0" applyFont="1" applyFill="1" applyAlignment="1" applyProtection="1">
      <alignment horizontal="center"/>
      <protection locked="0"/>
    </xf>
    <xf numFmtId="3" fontId="0" fillId="3" borderId="9" xfId="0" applyNumberFormat="1" applyFont="1" applyFill="1" applyBorder="1" applyAlignment="1" applyProtection="1">
      <alignment horizontal="right" wrapText="1"/>
      <protection locked="0"/>
    </xf>
    <xf numFmtId="164" fontId="0" fillId="3" borderId="9" xfId="0" applyNumberFormat="1" applyFont="1" applyFill="1" applyBorder="1" applyAlignment="1" applyProtection="1">
      <alignment horizontal="center" wrapText="1"/>
      <protection locked="0"/>
    </xf>
    <xf numFmtId="6" fontId="2" fillId="3" borderId="9" xfId="0" applyNumberFormat="1" applyFont="1" applyFill="1" applyBorder="1" applyProtection="1">
      <protection locked="0"/>
    </xf>
    <xf numFmtId="0" fontId="0" fillId="0" borderId="0" xfId="0" applyFont="1" applyAlignment="1" applyProtection="1">
      <alignment horizontal="center"/>
      <protection locked="0"/>
    </xf>
    <xf numFmtId="3" fontId="0" fillId="0" borderId="0" xfId="0" applyNumberFormat="1" applyFont="1" applyProtection="1">
      <protection locked="0"/>
    </xf>
    <xf numFmtId="164" fontId="0" fillId="0" borderId="0" xfId="0" applyNumberFormat="1" applyFont="1" applyProtection="1">
      <protection locked="0"/>
    </xf>
    <xf numFmtId="6" fontId="0" fillId="0" borderId="0" xfId="0" applyNumberFormat="1" applyFont="1" applyProtection="1">
      <protection locked="0"/>
    </xf>
    <xf numFmtId="6" fontId="0" fillId="2" borderId="0" xfId="0" applyNumberFormat="1" applyFont="1" applyFill="1" applyAlignment="1" applyProtection="1">
      <alignment horizontal="right"/>
      <protection locked="0"/>
    </xf>
    <xf numFmtId="9" fontId="0" fillId="0" borderId="0" xfId="0" applyNumberFormat="1" applyFont="1" applyFill="1" applyProtection="1">
      <protection locked="0"/>
    </xf>
    <xf numFmtId="9" fontId="0" fillId="0" borderId="0" xfId="0" applyNumberFormat="1" applyFont="1" applyAlignment="1" applyProtection="1">
      <alignment horizontal="center"/>
      <protection locked="0"/>
    </xf>
    <xf numFmtId="0" fontId="0" fillId="2" borderId="0" xfId="0" applyFont="1" applyFill="1" applyProtection="1">
      <protection locked="0"/>
    </xf>
    <xf numFmtId="3" fontId="0" fillId="0" borderId="0" xfId="0" applyNumberFormat="1" applyFont="1" applyBorder="1" applyProtection="1">
      <protection locked="0"/>
    </xf>
    <xf numFmtId="6" fontId="0" fillId="0" borderId="0" xfId="0" applyNumberFormat="1" applyFont="1" applyBorder="1" applyProtection="1">
      <protection locked="0"/>
    </xf>
    <xf numFmtId="6" fontId="0" fillId="0" borderId="0" xfId="0" applyNumberFormat="1" applyFont="1" applyBorder="1" applyAlignment="1" applyProtection="1">
      <alignment horizontal="center"/>
      <protection locked="0"/>
    </xf>
    <xf numFmtId="6" fontId="0" fillId="0" borderId="0" xfId="0" applyNumberFormat="1" applyFont="1" applyBorder="1" applyAlignment="1" applyProtection="1">
      <alignment horizontal="right"/>
      <protection locked="0"/>
    </xf>
    <xf numFmtId="0" fontId="3" fillId="0" borderId="0" xfId="0" applyFont="1"/>
    <xf numFmtId="0" fontId="0" fillId="0" borderId="0" xfId="0"/>
    <xf numFmtId="0" fontId="0" fillId="0" borderId="0" xfId="0"/>
    <xf numFmtId="8" fontId="0" fillId="0" borderId="0" xfId="0" applyNumberFormat="1"/>
    <xf numFmtId="44" fontId="0" fillId="0" borderId="0" xfId="50" applyFont="1"/>
    <xf numFmtId="6" fontId="0" fillId="0" borderId="0" xfId="0" applyNumberFormat="1"/>
    <xf numFmtId="0" fontId="9" fillId="11" borderId="7" xfId="0" applyFont="1" applyFill="1" applyBorder="1" applyAlignment="1" applyProtection="1">
      <alignment horizontal="center" vertical="center"/>
    </xf>
    <xf numFmtId="0" fontId="9" fillId="12" borderId="7" xfId="0" applyFont="1" applyFill="1" applyBorder="1" applyAlignment="1" applyProtection="1">
      <alignment horizontal="center" vertical="center"/>
    </xf>
    <xf numFmtId="0" fontId="9" fillId="11" borderId="0" xfId="0" applyFont="1" applyFill="1" applyBorder="1" applyAlignment="1" applyProtection="1">
      <alignment horizontal="center" vertical="center"/>
    </xf>
    <xf numFmtId="0" fontId="0" fillId="0" borderId="0" xfId="0" applyAlignment="1"/>
    <xf numFmtId="0" fontId="10" fillId="0" borderId="11" xfId="0" applyFont="1" applyFill="1" applyBorder="1" applyAlignment="1" applyProtection="1">
      <alignment vertical="center"/>
    </xf>
    <xf numFmtId="0" fontId="10" fillId="3" borderId="11" xfId="0" applyFont="1" applyFill="1" applyBorder="1" applyAlignment="1" applyProtection="1">
      <alignment horizontal="center" vertical="center"/>
    </xf>
    <xf numFmtId="0" fontId="10" fillId="0" borderId="11"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44" fontId="10" fillId="0" borderId="11" xfId="0" applyNumberFormat="1" applyFont="1" applyFill="1" applyBorder="1" applyAlignment="1" applyProtection="1">
      <alignment horizontal="right" vertical="center"/>
    </xf>
    <xf numFmtId="6" fontId="10" fillId="0" borderId="11" xfId="0" applyNumberFormat="1" applyFont="1" applyFill="1" applyBorder="1" applyAlignment="1" applyProtection="1">
      <alignment horizontal="right" vertical="center"/>
    </xf>
    <xf numFmtId="8" fontId="10" fillId="0" borderId="11" xfId="0" applyNumberFormat="1" applyFont="1" applyFill="1" applyBorder="1" applyAlignment="1" applyProtection="1">
      <alignment horizontal="right" vertical="center"/>
    </xf>
    <xf numFmtId="170" fontId="10" fillId="0" borderId="11" xfId="49" applyNumberFormat="1" applyFont="1" applyFill="1" applyBorder="1" applyAlignment="1" applyProtection="1">
      <alignment horizontal="right" vertical="center"/>
    </xf>
    <xf numFmtId="0" fontId="0" fillId="0" borderId="11" xfId="0" applyBorder="1" applyAlignment="1"/>
    <xf numFmtId="6" fontId="0" fillId="13" borderId="9" xfId="0" applyNumberFormat="1" applyFont="1" applyFill="1" applyBorder="1" applyProtection="1">
      <protection locked="0"/>
    </xf>
    <xf numFmtId="0" fontId="9" fillId="12"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0" fillId="0" borderId="0" xfId="0"/>
    <xf numFmtId="0" fontId="10" fillId="0" borderId="0" xfId="0" applyFont="1" applyFill="1" applyBorder="1" applyAlignment="1" applyProtection="1">
      <alignment vertical="center"/>
    </xf>
    <xf numFmtId="171" fontId="10" fillId="0" borderId="11" xfId="49" applyNumberFormat="1" applyFont="1" applyFill="1" applyBorder="1" applyAlignment="1" applyProtection="1">
      <alignment horizontal="right" vertical="center"/>
    </xf>
    <xf numFmtId="49" fontId="0" fillId="0" borderId="11" xfId="0" applyNumberFormat="1" applyBorder="1"/>
    <xf numFmtId="49" fontId="0" fillId="3" borderId="11" xfId="0" applyNumberFormat="1" applyFill="1" applyBorder="1" applyAlignment="1">
      <alignment horizontal="center"/>
    </xf>
    <xf numFmtId="0" fontId="0" fillId="0" borderId="11" xfId="0" applyBorder="1"/>
    <xf numFmtId="6" fontId="0" fillId="0" borderId="11" xfId="0" applyNumberFormat="1" applyBorder="1"/>
    <xf numFmtId="44" fontId="10" fillId="14" borderId="11" xfId="0" applyNumberFormat="1" applyFont="1" applyFill="1" applyBorder="1" applyAlignment="1" applyProtection="1">
      <alignment horizontal="right" vertical="center"/>
    </xf>
    <xf numFmtId="0" fontId="10" fillId="15" borderId="11" xfId="0" applyFont="1" applyFill="1" applyBorder="1" applyAlignment="1" applyProtection="1">
      <alignment vertical="center"/>
    </xf>
    <xf numFmtId="49" fontId="10" fillId="14" borderId="11" xfId="0" applyNumberFormat="1" applyFont="1" applyFill="1" applyBorder="1" applyAlignment="1" applyProtection="1">
      <alignment vertical="center"/>
    </xf>
    <xf numFmtId="0" fontId="0" fillId="0" borderId="0" xfId="0" applyAlignment="1">
      <alignment horizontal="center"/>
    </xf>
    <xf numFmtId="170" fontId="0" fillId="0" borderId="11" xfId="49" applyNumberFormat="1" applyFont="1" applyBorder="1"/>
    <xf numFmtId="6" fontId="2" fillId="0" borderId="0" xfId="0" applyNumberFormat="1" applyFont="1" applyBorder="1" applyAlignment="1" applyProtection="1">
      <alignment horizontal="center"/>
      <protection locked="0"/>
    </xf>
    <xf numFmtId="16" fontId="0" fillId="0" borderId="0" xfId="0" applyNumberFormat="1" applyFont="1" applyBorder="1" applyAlignment="1" applyProtection="1">
      <alignment horizontal="center" wrapText="1"/>
    </xf>
    <xf numFmtId="6" fontId="0" fillId="0" borderId="0" xfId="0" applyNumberFormat="1" applyBorder="1" applyAlignment="1" applyProtection="1">
      <alignment horizontal="center"/>
      <protection locked="0"/>
    </xf>
    <xf numFmtId="8" fontId="0" fillId="0" borderId="0" xfId="0" applyNumberFormat="1" applyFont="1" applyBorder="1" applyProtection="1">
      <protection locked="0"/>
    </xf>
    <xf numFmtId="0" fontId="0" fillId="3" borderId="0" xfId="0" applyFill="1" applyAlignment="1" applyProtection="1">
      <alignment horizontal="left"/>
      <protection locked="0"/>
    </xf>
    <xf numFmtId="0" fontId="0" fillId="3" borderId="9" xfId="0" applyFill="1" applyBorder="1" applyAlignment="1" applyProtection="1">
      <alignment horizontal="center"/>
      <protection locked="0"/>
    </xf>
    <xf numFmtId="3" fontId="10" fillId="0" borderId="11" xfId="0" applyNumberFormat="1" applyFont="1" applyFill="1" applyBorder="1" applyAlignment="1" applyProtection="1">
      <alignment horizontal="right" vertical="center"/>
    </xf>
    <xf numFmtId="6" fontId="10" fillId="13" borderId="11" xfId="0" applyNumberFormat="1" applyFont="1" applyFill="1" applyBorder="1" applyAlignment="1" applyProtection="1">
      <alignment horizontal="right" vertical="center"/>
    </xf>
    <xf numFmtId="6" fontId="2" fillId="0" borderId="3" xfId="0" applyNumberFormat="1" applyFont="1" applyBorder="1" applyAlignment="1" applyProtection="1">
      <alignment horizontal="center" wrapText="1"/>
      <protection locked="0"/>
    </xf>
    <xf numFmtId="6" fontId="0" fillId="0" borderId="3" xfId="0" applyNumberFormat="1" applyFont="1" applyBorder="1" applyProtection="1">
      <protection locked="0"/>
    </xf>
    <xf numFmtId="6" fontId="0" fillId="13" borderId="3" xfId="0" applyNumberFormat="1" applyFont="1" applyFill="1" applyBorder="1" applyProtection="1">
      <protection locked="0"/>
    </xf>
    <xf numFmtId="0" fontId="10" fillId="13" borderId="11" xfId="0" applyFont="1" applyFill="1" applyBorder="1" applyAlignment="1" applyProtection="1">
      <alignment vertical="center"/>
    </xf>
    <xf numFmtId="0" fontId="0" fillId="13" borderId="0" xfId="0" applyFill="1" applyAlignment="1" applyProtection="1">
      <alignment horizontal="left"/>
      <protection locked="0"/>
    </xf>
    <xf numFmtId="3" fontId="0" fillId="13" borderId="9" xfId="0" applyNumberFormat="1" applyFont="1" applyFill="1" applyBorder="1" applyProtection="1">
      <protection locked="0"/>
    </xf>
    <xf numFmtId="8" fontId="0" fillId="13" borderId="9" xfId="0" applyNumberFormat="1" applyFont="1" applyFill="1" applyBorder="1" applyProtection="1">
      <protection locked="0"/>
    </xf>
    <xf numFmtId="0" fontId="2" fillId="0" borderId="0" xfId="0" applyFont="1" applyBorder="1" applyAlignment="1" applyProtection="1">
      <alignment horizontal="center"/>
      <protection locked="0"/>
    </xf>
    <xf numFmtId="0" fontId="0" fillId="0" borderId="9" xfId="0" applyFill="1" applyBorder="1" applyAlignment="1" applyProtection="1">
      <alignment horizontal="center"/>
      <protection locked="0"/>
    </xf>
    <xf numFmtId="172" fontId="10" fillId="0" borderId="11" xfId="0" applyNumberFormat="1" applyFont="1" applyFill="1" applyBorder="1" applyAlignment="1" applyProtection="1">
      <alignment horizontal="right" vertical="center"/>
    </xf>
    <xf numFmtId="9" fontId="0" fillId="0" borderId="9" xfId="0" applyNumberFormat="1" applyFont="1" applyFill="1" applyBorder="1" applyProtection="1">
      <protection locked="0"/>
    </xf>
    <xf numFmtId="0" fontId="0" fillId="0" borderId="9" xfId="0" applyFont="1" applyBorder="1" applyAlignment="1" applyProtection="1">
      <alignment horizontal="right"/>
      <protection locked="0"/>
    </xf>
    <xf numFmtId="9" fontId="0" fillId="0" borderId="9" xfId="0" applyNumberFormat="1" applyFont="1" applyBorder="1" applyAlignment="1" applyProtection="1">
      <alignment horizontal="center"/>
      <protection locked="0"/>
    </xf>
    <xf numFmtId="9" fontId="0" fillId="0" borderId="0" xfId="0" applyNumberFormat="1" applyBorder="1" applyAlignment="1" applyProtection="1">
      <alignment horizontal="center"/>
      <protection locked="0"/>
    </xf>
    <xf numFmtId="0" fontId="0" fillId="0" borderId="0" xfId="0" applyFont="1" applyBorder="1" applyAlignment="1" applyProtection="1">
      <alignment horizontal="center"/>
      <protection locked="0"/>
    </xf>
    <xf numFmtId="9" fontId="0" fillId="0" borderId="0" xfId="0" applyNumberFormat="1" applyFont="1" applyBorder="1" applyAlignment="1" applyProtection="1">
      <alignment horizontal="center"/>
      <protection locked="0"/>
    </xf>
    <xf numFmtId="0" fontId="0" fillId="0" borderId="0" xfId="0" applyFont="1" applyBorder="1" applyAlignment="1" applyProtection="1">
      <alignment horizontal="right"/>
      <protection locked="0"/>
    </xf>
    <xf numFmtId="0" fontId="0" fillId="0" borderId="0" xfId="0" applyFont="1" applyBorder="1" applyProtection="1">
      <protection locked="0"/>
    </xf>
    <xf numFmtId="8" fontId="10" fillId="13" borderId="11" xfId="0" applyNumberFormat="1" applyFont="1" applyFill="1" applyBorder="1" applyAlignment="1" applyProtection="1">
      <alignment horizontal="right" vertical="center"/>
    </xf>
    <xf numFmtId="6" fontId="0" fillId="13" borderId="11" xfId="0" applyNumberFormat="1" applyFill="1" applyBorder="1"/>
    <xf numFmtId="0" fontId="0" fillId="0" borderId="0" xfId="0" applyAlignment="1">
      <alignment wrapText="1"/>
    </xf>
    <xf numFmtId="0" fontId="0" fillId="0" borderId="0" xfId="0"/>
    <xf numFmtId="6" fontId="0" fillId="14" borderId="9" xfId="0" applyNumberFormat="1" applyFont="1" applyFill="1" applyBorder="1" applyProtection="1">
      <protection locked="0"/>
    </xf>
    <xf numFmtId="6" fontId="0" fillId="14" borderId="0" xfId="0" applyNumberFormat="1" applyFont="1" applyFill="1" applyBorder="1" applyProtection="1">
      <protection locked="0"/>
    </xf>
    <xf numFmtId="6" fontId="0" fillId="13" borderId="0" xfId="0" applyNumberFormat="1" applyFont="1" applyFill="1" applyBorder="1" applyProtection="1">
      <protection locked="0"/>
    </xf>
    <xf numFmtId="6" fontId="0" fillId="0" borderId="9" xfId="0" applyNumberFormat="1" applyFont="1" applyFill="1" applyBorder="1" applyProtection="1">
      <protection locked="0"/>
    </xf>
    <xf numFmtId="0" fontId="10" fillId="0" borderId="0" xfId="0" applyFont="1" applyFill="1" applyBorder="1" applyAlignment="1" applyProtection="1">
      <alignment horizontal="center" vertical="center"/>
    </xf>
    <xf numFmtId="0" fontId="0" fillId="3" borderId="0" xfId="0" applyFill="1" applyAlignment="1">
      <alignment horizontal="center"/>
    </xf>
    <xf numFmtId="10" fontId="0" fillId="0" borderId="0" xfId="53" applyNumberFormat="1" applyFont="1" applyAlignment="1">
      <alignment horizontal="center"/>
    </xf>
    <xf numFmtId="10" fontId="9" fillId="11" borderId="0" xfId="53" applyNumberFormat="1" applyFont="1" applyFill="1" applyBorder="1" applyAlignment="1" applyProtection="1">
      <alignment horizontal="center" vertical="center"/>
    </xf>
    <xf numFmtId="10" fontId="10" fillId="0" borderId="0" xfId="53" applyNumberFormat="1" applyFont="1" applyFill="1" applyBorder="1" applyAlignment="1" applyProtection="1">
      <alignment horizontal="center" vertical="center"/>
    </xf>
    <xf numFmtId="0" fontId="10" fillId="14" borderId="11" xfId="0" applyFont="1" applyFill="1" applyBorder="1" applyAlignment="1" applyProtection="1">
      <alignment vertical="center"/>
    </xf>
    <xf numFmtId="4" fontId="10" fillId="0" borderId="11" xfId="0" applyNumberFormat="1" applyFont="1" applyFill="1" applyBorder="1" applyAlignment="1" applyProtection="1">
      <alignment horizontal="right" vertical="center"/>
    </xf>
    <xf numFmtId="10" fontId="0" fillId="0" borderId="0" xfId="0" applyNumberFormat="1" applyAlignment="1">
      <alignment horizontal="center"/>
    </xf>
    <xf numFmtId="43" fontId="10" fillId="0" borderId="11" xfId="49" applyNumberFormat="1" applyFont="1" applyFill="1" applyBorder="1" applyAlignment="1" applyProtection="1">
      <alignment horizontal="right" vertical="center"/>
    </xf>
    <xf numFmtId="6" fontId="0" fillId="16" borderId="0" xfId="0" applyNumberFormat="1" applyFill="1"/>
    <xf numFmtId="10" fontId="0" fillId="16" borderId="0" xfId="53" applyNumberFormat="1" applyFont="1" applyFill="1" applyAlignment="1">
      <alignment horizontal="right"/>
    </xf>
    <xf numFmtId="0" fontId="0" fillId="0" borderId="0" xfId="0"/>
    <xf numFmtId="0" fontId="2" fillId="0" borderId="0" xfId="0" applyFont="1" applyBorder="1" applyAlignment="1" applyProtection="1">
      <alignment horizontal="center"/>
      <protection locked="0"/>
    </xf>
    <xf numFmtId="0" fontId="0" fillId="0" borderId="0" xfId="0"/>
    <xf numFmtId="15" fontId="13" fillId="0" borderId="0" xfId="0" applyNumberFormat="1" applyFont="1" applyAlignment="1">
      <alignment horizontal="center"/>
    </xf>
    <xf numFmtId="14" fontId="0" fillId="0" borderId="0" xfId="0" applyNumberFormat="1"/>
    <xf numFmtId="0" fontId="2" fillId="0" borderId="0" xfId="0" applyFont="1" applyAlignment="1" applyProtection="1">
      <alignment horizontal="center"/>
      <protection locked="0"/>
    </xf>
    <xf numFmtId="8" fontId="0" fillId="0" borderId="0" xfId="0" applyNumberFormat="1" applyFont="1" applyProtection="1">
      <protection locked="0"/>
    </xf>
    <xf numFmtId="3" fontId="0" fillId="15" borderId="9" xfId="0" applyNumberFormat="1" applyFont="1" applyFill="1" applyBorder="1" applyProtection="1">
      <protection locked="0"/>
    </xf>
    <xf numFmtId="0" fontId="10" fillId="14" borderId="11" xfId="0" applyFont="1" applyFill="1" applyBorder="1" applyAlignment="1" applyProtection="1">
      <alignment horizontal="right" vertical="center"/>
    </xf>
    <xf numFmtId="170" fontId="10" fillId="0" borderId="0" xfId="49" applyNumberFormat="1" applyFont="1" applyFill="1" applyBorder="1" applyAlignment="1" applyProtection="1">
      <alignment horizontal="right" vertical="center"/>
    </xf>
    <xf numFmtId="0" fontId="12" fillId="14" borderId="11" xfId="0" applyFont="1" applyFill="1" applyBorder="1" applyAlignment="1" applyProtection="1">
      <alignment vertical="center"/>
    </xf>
    <xf numFmtId="8" fontId="0" fillId="13" borderId="0" xfId="0" applyNumberFormat="1" applyFont="1" applyFill="1" applyBorder="1" applyProtection="1">
      <protection locked="0"/>
    </xf>
    <xf numFmtId="6" fontId="10" fillId="13" borderId="0" xfId="0" applyNumberFormat="1" applyFont="1" applyFill="1" applyBorder="1" applyAlignment="1" applyProtection="1">
      <alignment horizontal="right" vertical="center"/>
    </xf>
    <xf numFmtId="0" fontId="0" fillId="0" borderId="0" xfId="0"/>
    <xf numFmtId="6" fontId="0" fillId="0" borderId="0" xfId="0" applyNumberFormat="1" applyBorder="1"/>
    <xf numFmtId="44" fontId="10" fillId="14" borderId="0" xfId="0" applyNumberFormat="1" applyFont="1" applyFill="1" applyBorder="1" applyAlignment="1" applyProtection="1">
      <alignment horizontal="right" vertical="center"/>
    </xf>
    <xf numFmtId="44" fontId="10" fillId="0" borderId="0" xfId="0" applyNumberFormat="1" applyFont="1" applyFill="1" applyBorder="1" applyAlignment="1" applyProtection="1">
      <alignment horizontal="right" vertical="center"/>
    </xf>
    <xf numFmtId="0" fontId="0" fillId="0" borderId="0" xfId="0" applyBorder="1" applyAlignment="1"/>
    <xf numFmtId="0" fontId="0" fillId="0" borderId="0" xfId="0"/>
    <xf numFmtId="0" fontId="2" fillId="0" borderId="0" xfId="0" applyFont="1" applyBorder="1" applyAlignment="1" applyProtection="1">
      <alignment horizontal="center"/>
      <protection locked="0"/>
    </xf>
    <xf numFmtId="0" fontId="0" fillId="0" borderId="0" xfId="0"/>
    <xf numFmtId="0" fontId="10" fillId="3" borderId="11" xfId="0" applyFont="1" applyFill="1" applyBorder="1" applyAlignment="1" applyProtection="1">
      <alignment horizontal="right" vertical="center"/>
    </xf>
    <xf numFmtId="0" fontId="10" fillId="13" borderId="11" xfId="0" applyFont="1" applyFill="1" applyBorder="1" applyAlignment="1" applyProtection="1">
      <alignment horizontal="right" vertical="center"/>
    </xf>
    <xf numFmtId="0" fontId="0" fillId="0" borderId="0" xfId="0"/>
    <xf numFmtId="15" fontId="2" fillId="0" borderId="0" xfId="0" applyNumberFormat="1" applyFont="1" applyAlignment="1" applyProtection="1">
      <alignment horizontal="center"/>
      <protection locked="0"/>
    </xf>
    <xf numFmtId="0" fontId="16" fillId="0" borderId="0" xfId="0" applyFont="1" applyAlignment="1" applyProtection="1">
      <alignment horizontal="left"/>
      <protection locked="0"/>
    </xf>
    <xf numFmtId="44" fontId="0" fillId="0" borderId="0" xfId="50" applyFont="1" applyProtection="1">
      <protection locked="0"/>
    </xf>
    <xf numFmtId="10" fontId="0" fillId="0" borderId="0" xfId="53" applyNumberFormat="1" applyFont="1" applyAlignment="1" applyProtection="1">
      <alignment horizontal="right"/>
      <protection locked="0"/>
    </xf>
    <xf numFmtId="0" fontId="0" fillId="17" borderId="0" xfId="0" applyFont="1" applyFill="1" applyAlignment="1" applyProtection="1">
      <alignment horizontal="right"/>
      <protection locked="0"/>
    </xf>
    <xf numFmtId="173" fontId="0" fillId="0" borderId="0" xfId="50" applyNumberFormat="1" applyFont="1" applyAlignment="1" applyProtection="1">
      <alignment horizontal="right"/>
      <protection locked="0"/>
    </xf>
    <xf numFmtId="0" fontId="17" fillId="0" borderId="0" xfId="54" applyAlignment="1" applyProtection="1">
      <alignment horizontal="left"/>
      <protection locked="0"/>
    </xf>
    <xf numFmtId="44" fontId="0" fillId="0" borderId="0" xfId="50" applyFont="1" applyAlignment="1" applyProtection="1">
      <alignment horizontal="right"/>
      <protection locked="0"/>
    </xf>
    <xf numFmtId="0" fontId="2" fillId="0" borderId="0" xfId="0" applyFont="1" applyBorder="1" applyAlignment="1" applyProtection="1">
      <alignment horizontal="center"/>
      <protection locked="0"/>
    </xf>
    <xf numFmtId="44" fontId="10" fillId="13" borderId="11" xfId="0" applyNumberFormat="1" applyFont="1" applyFill="1" applyBorder="1" applyAlignment="1" applyProtection="1">
      <alignment horizontal="right" vertical="center"/>
    </xf>
    <xf numFmtId="0" fontId="2" fillId="0" borderId="0" xfId="0" applyFont="1" applyBorder="1" applyAlignment="1" applyProtection="1">
      <alignment horizontal="center"/>
      <protection locked="0"/>
    </xf>
    <xf numFmtId="0" fontId="2" fillId="0" borderId="0" xfId="0" applyFont="1" applyFill="1" applyBorder="1" applyAlignment="1"/>
    <xf numFmtId="0" fontId="0" fillId="0" borderId="0" xfId="0" applyFill="1" applyBorder="1" applyAlignment="1">
      <alignment wrapText="1"/>
    </xf>
    <xf numFmtId="6" fontId="2" fillId="0" borderId="3" xfId="0" applyNumberFormat="1" applyFont="1" applyFill="1" applyBorder="1" applyAlignment="1" applyProtection="1">
      <alignment horizontal="center" wrapText="1"/>
      <protection locked="0"/>
    </xf>
    <xf numFmtId="6" fontId="0" fillId="0" borderId="3" xfId="0" applyNumberFormat="1" applyFont="1" applyFill="1" applyBorder="1" applyAlignment="1" applyProtection="1">
      <alignment horizontal="right" wrapText="1"/>
      <protection locked="0"/>
    </xf>
    <xf numFmtId="6" fontId="0" fillId="0" borderId="0" xfId="0" applyNumberFormat="1" applyFont="1" applyFill="1" applyBorder="1" applyAlignment="1" applyProtection="1">
      <alignment horizontal="right"/>
      <protection locked="0"/>
    </xf>
    <xf numFmtId="6" fontId="0" fillId="0" borderId="0" xfId="0" applyNumberFormat="1" applyFont="1" applyFill="1" applyAlignment="1" applyProtection="1">
      <alignment horizontal="right"/>
      <protection locked="0"/>
    </xf>
    <xf numFmtId="8" fontId="0" fillId="0" borderId="3" xfId="0" applyNumberFormat="1" applyFont="1" applyFill="1" applyBorder="1" applyAlignment="1" applyProtection="1">
      <alignment horizontal="right"/>
      <protection locked="0"/>
    </xf>
    <xf numFmtId="0" fontId="18" fillId="0" borderId="12" xfId="0" applyFont="1" applyBorder="1" applyProtection="1">
      <protection locked="0"/>
    </xf>
    <xf numFmtId="0" fontId="0" fillId="0" borderId="13" xfId="0" applyFont="1" applyBorder="1" applyAlignment="1" applyProtection="1">
      <alignment horizontal="center"/>
      <protection locked="0"/>
    </xf>
    <xf numFmtId="3" fontId="0" fillId="0" borderId="13" xfId="0" applyNumberFormat="1" applyFont="1" applyBorder="1" applyProtection="1">
      <protection locked="0"/>
    </xf>
    <xf numFmtId="164" fontId="0" fillId="0" borderId="13" xfId="0" applyNumberFormat="1" applyFont="1" applyBorder="1" applyProtection="1">
      <protection locked="0"/>
    </xf>
    <xf numFmtId="15" fontId="2" fillId="0" borderId="13" xfId="0" applyNumberFormat="1" applyFont="1" applyBorder="1" applyAlignment="1" applyProtection="1">
      <alignment horizontal="center"/>
      <protection locked="0"/>
    </xf>
    <xf numFmtId="6" fontId="0" fillId="2" borderId="13" xfId="0" applyNumberFormat="1" applyFont="1" applyFill="1" applyBorder="1" applyAlignment="1" applyProtection="1">
      <alignment horizontal="right"/>
      <protection locked="0"/>
    </xf>
    <xf numFmtId="6" fontId="0" fillId="0" borderId="13" xfId="0" applyNumberFormat="1" applyFont="1" applyFill="1" applyBorder="1" applyAlignment="1" applyProtection="1">
      <alignment horizontal="right"/>
      <protection locked="0"/>
    </xf>
    <xf numFmtId="9" fontId="0" fillId="0" borderId="13" xfId="0" applyNumberFormat="1" applyFont="1" applyFill="1" applyBorder="1" applyProtection="1">
      <protection locked="0"/>
    </xf>
    <xf numFmtId="15" fontId="2" fillId="0" borderId="14" xfId="0" applyNumberFormat="1" applyFont="1" applyBorder="1" applyAlignment="1" applyProtection="1">
      <alignment horizontal="center"/>
      <protection locked="0"/>
    </xf>
    <xf numFmtId="0" fontId="0" fillId="0" borderId="15" xfId="0" applyBorder="1" applyAlignment="1" applyProtection="1">
      <alignment horizontal="left"/>
      <protection locked="0"/>
    </xf>
    <xf numFmtId="9" fontId="0" fillId="0" borderId="0" xfId="0" applyNumberFormat="1" applyFont="1" applyFill="1" applyBorder="1" applyProtection="1">
      <protection locked="0"/>
    </xf>
    <xf numFmtId="0" fontId="2" fillId="0" borderId="16" xfId="0" applyFont="1" applyBorder="1" applyAlignment="1" applyProtection="1">
      <alignment horizontal="center"/>
      <protection locked="0"/>
    </xf>
    <xf numFmtId="0" fontId="0" fillId="0" borderId="15" xfId="0" applyFont="1" applyBorder="1" applyProtection="1">
      <protection locked="0"/>
    </xf>
    <xf numFmtId="164" fontId="0" fillId="0" borderId="0" xfId="0" applyNumberFormat="1" applyFont="1" applyBorder="1" applyProtection="1">
      <protection locked="0"/>
    </xf>
    <xf numFmtId="0" fontId="3" fillId="0" borderId="15" xfId="0" applyFont="1" applyBorder="1"/>
    <xf numFmtId="44" fontId="0" fillId="0" borderId="0" xfId="11" applyFont="1" applyBorder="1" applyProtection="1">
      <protection locked="0"/>
    </xf>
    <xf numFmtId="8" fontId="0" fillId="13" borderId="16" xfId="0" applyNumberFormat="1" applyFont="1" applyFill="1" applyBorder="1" applyProtection="1">
      <protection locked="0"/>
    </xf>
    <xf numFmtId="0" fontId="5" fillId="0" borderId="15" xfId="0" applyFont="1" applyBorder="1" applyProtection="1">
      <protection locked="0"/>
    </xf>
    <xf numFmtId="0" fontId="0" fillId="0" borderId="15" xfId="0" applyBorder="1" applyProtection="1">
      <protection locked="0"/>
    </xf>
    <xf numFmtId="0" fontId="0" fillId="0" borderId="16" xfId="0" applyFont="1" applyBorder="1" applyAlignment="1" applyProtection="1">
      <alignment horizontal="center"/>
      <protection locked="0"/>
    </xf>
    <xf numFmtId="0" fontId="0" fillId="0" borderId="17" xfId="0" applyFont="1" applyBorder="1" applyProtection="1">
      <protection locked="0"/>
    </xf>
    <xf numFmtId="0" fontId="0" fillId="0" borderId="18" xfId="0" applyFont="1" applyBorder="1" applyAlignment="1" applyProtection="1">
      <alignment horizontal="center"/>
      <protection locked="0"/>
    </xf>
    <xf numFmtId="174" fontId="0" fillId="0" borderId="18" xfId="53" applyNumberFormat="1" applyFont="1" applyBorder="1" applyProtection="1">
      <protection locked="0"/>
    </xf>
    <xf numFmtId="164" fontId="0" fillId="0" borderId="18" xfId="0" applyNumberFormat="1" applyFont="1" applyBorder="1" applyProtection="1">
      <protection locked="0"/>
    </xf>
    <xf numFmtId="6" fontId="0" fillId="2" borderId="18" xfId="0" applyNumberFormat="1" applyFont="1" applyFill="1" applyBorder="1" applyAlignment="1" applyProtection="1">
      <alignment horizontal="right"/>
      <protection locked="0"/>
    </xf>
    <xf numFmtId="6" fontId="0" fillId="0" borderId="18" xfId="0" applyNumberFormat="1" applyFont="1" applyFill="1" applyBorder="1" applyAlignment="1" applyProtection="1">
      <alignment horizontal="right"/>
      <protection locked="0"/>
    </xf>
    <xf numFmtId="9" fontId="0" fillId="0" borderId="18" xfId="0" applyNumberFormat="1" applyFont="1" applyFill="1" applyBorder="1" applyProtection="1">
      <protection locked="0"/>
    </xf>
    <xf numFmtId="175" fontId="0" fillId="0" borderId="19" xfId="0" applyNumberFormat="1" applyFont="1" applyBorder="1" applyProtection="1">
      <protection locked="0"/>
    </xf>
    <xf numFmtId="8" fontId="0" fillId="15" borderId="9" xfId="0" applyNumberFormat="1" applyFont="1" applyFill="1" applyBorder="1" applyProtection="1">
      <protection locked="0"/>
    </xf>
    <xf numFmtId="176" fontId="0" fillId="0" borderId="0" xfId="0" applyNumberFormat="1" applyAlignment="1"/>
    <xf numFmtId="176" fontId="10" fillId="0" borderId="11" xfId="0" applyNumberFormat="1" applyFont="1" applyFill="1" applyBorder="1" applyAlignment="1" applyProtection="1">
      <alignment horizontal="right" vertical="center"/>
    </xf>
    <xf numFmtId="44" fontId="0" fillId="0" borderId="0" xfId="0" applyNumberFormat="1" applyBorder="1" applyAlignment="1"/>
    <xf numFmtId="44" fontId="0" fillId="0" borderId="11" xfId="0" applyNumberFormat="1" applyBorder="1" applyAlignment="1"/>
    <xf numFmtId="44" fontId="0" fillId="0" borderId="11" xfId="0" applyNumberFormat="1" applyBorder="1"/>
    <xf numFmtId="44" fontId="0" fillId="13" borderId="11" xfId="0" applyNumberFormat="1" applyFill="1" applyBorder="1"/>
    <xf numFmtId="0" fontId="0" fillId="0" borderId="0" xfId="0"/>
    <xf numFmtId="0" fontId="0" fillId="0" borderId="0" xfId="0"/>
    <xf numFmtId="0" fontId="0" fillId="0" borderId="0" xfId="0"/>
    <xf numFmtId="0" fontId="2" fillId="0" borderId="4"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9" fontId="2" fillId="0" borderId="1" xfId="0" applyNumberFormat="1" applyFont="1" applyFill="1" applyBorder="1" applyAlignment="1" applyProtection="1">
      <alignment horizontal="center"/>
      <protection locked="0"/>
    </xf>
    <xf numFmtId="0" fontId="0" fillId="0" borderId="2" xfId="0" applyBorder="1"/>
    <xf numFmtId="0" fontId="0" fillId="0" borderId="3" xfId="0" applyFont="1" applyBorder="1" applyAlignment="1" applyProtection="1">
      <alignment horizontal="center" wrapText="1"/>
      <protection locked="0"/>
    </xf>
    <xf numFmtId="0" fontId="0" fillId="0" borderId="0" xfId="0" applyAlignment="1">
      <alignment wrapText="1"/>
    </xf>
    <xf numFmtId="0" fontId="2" fillId="0" borderId="0" xfId="0" applyFont="1" applyBorder="1" applyAlignment="1" applyProtection="1">
      <alignment horizontal="center"/>
      <protection locked="0"/>
    </xf>
    <xf numFmtId="0" fontId="0" fillId="0" borderId="0" xfId="0"/>
  </cellXfs>
  <cellStyles count="55">
    <cellStyle name="Analysis-" xfId="1"/>
    <cellStyle name="Analysis_" xfId="2"/>
    <cellStyle name="Comma" xfId="49" builtinId="3"/>
    <cellStyle name="Comma 2" xfId="3"/>
    <cellStyle name="Comma 2 2" xfId="4"/>
    <cellStyle name="Comma 3" xfId="5"/>
    <cellStyle name="Cost_Display" xfId="6"/>
    <cellStyle name="Cost-Display" xfId="7"/>
    <cellStyle name="Cost-Entry" xfId="8"/>
    <cellStyle name="Currency" xfId="50" builtinId="4"/>
    <cellStyle name="Currency 2" xfId="9"/>
    <cellStyle name="Currency 2 2" xfId="10"/>
    <cellStyle name="Currency 3" xfId="11"/>
    <cellStyle name="Days-" xfId="12"/>
    <cellStyle name="Days_" xfId="13"/>
    <cellStyle name="Days-Display" xfId="14"/>
    <cellStyle name="Hyperlink" xfId="54" builtinId="8"/>
    <cellStyle name="Info_Display" xfId="15"/>
    <cellStyle name="Info-Display" xfId="16"/>
    <cellStyle name="Info-Entry" xfId="17"/>
    <cellStyle name="Normal" xfId="0" builtinId="0"/>
    <cellStyle name="Normal 10" xfId="18"/>
    <cellStyle name="Normal 11" xfId="19"/>
    <cellStyle name="Normal 12" xfId="51"/>
    <cellStyle name="Normal 13" xfId="52"/>
    <cellStyle name="Normal 2" xfId="20"/>
    <cellStyle name="Normal 2 2" xfId="21"/>
    <cellStyle name="Normal 2 3" xfId="22"/>
    <cellStyle name="Normal 3" xfId="23"/>
    <cellStyle name="Normal 3 2" xfId="24"/>
    <cellStyle name="Normal 3 2 2" xfId="25"/>
    <cellStyle name="Normal 3 3" xfId="26"/>
    <cellStyle name="Normal 3 4" xfId="27"/>
    <cellStyle name="Normal 3 5" xfId="28"/>
    <cellStyle name="Normal 4" xfId="29"/>
    <cellStyle name="Normal 4 2" xfId="30"/>
    <cellStyle name="Normal 4 2 2" xfId="31"/>
    <cellStyle name="Normal 4 3" xfId="32"/>
    <cellStyle name="Normal 4 4" xfId="33"/>
    <cellStyle name="Normal 4 5" xfId="34"/>
    <cellStyle name="Normal 5" xfId="35"/>
    <cellStyle name="Normal 6" xfId="36"/>
    <cellStyle name="Normal 6 2" xfId="37"/>
    <cellStyle name="Normal 7" xfId="38"/>
    <cellStyle name="Normal 7 2" xfId="39"/>
    <cellStyle name="Normal 8" xfId="40"/>
    <cellStyle name="Normal 9" xfId="41"/>
    <cellStyle name="Percent" xfId="53" builtinId="5"/>
    <cellStyle name="Price" xfId="42"/>
    <cellStyle name="Quant_Display" xfId="43"/>
    <cellStyle name="Quant-Display" xfId="44"/>
    <cellStyle name="Quant-Entry" xfId="45"/>
    <cellStyle name="Revenue_Display" xfId="46"/>
    <cellStyle name="Revenue-Display" xfId="47"/>
    <cellStyle name="Revenue-Entry"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www.metalprices.com/metal/cupro-nickel/cupro-nickel-c706" TargetMode="External"/><Relationship Id="rId3" Type="http://schemas.openxmlformats.org/officeDocument/2006/relationships/hyperlink" Target="http://www.metalprices.com/historical/database/copper/lme-copper-cash-official" TargetMode="External"/><Relationship Id="rId7" Type="http://schemas.openxmlformats.org/officeDocument/2006/relationships/hyperlink" Target="http://www.metalprices.com/historical/database/stainless-steel/stainless-steel-304-s-p" TargetMode="External"/><Relationship Id="rId2" Type="http://schemas.openxmlformats.org/officeDocument/2006/relationships/hyperlink" Target="http://www.metalprices.com/historical/database/aluminum/lme-aluminum-cash-official" TargetMode="External"/><Relationship Id="rId1" Type="http://schemas.openxmlformats.org/officeDocument/2006/relationships/hyperlink" Target="http://www.metalprices.com/historical/database/ferrous-scrap-price-index/fe-spi-5-plate-structural-birmingham" TargetMode="External"/><Relationship Id="rId6" Type="http://schemas.openxmlformats.org/officeDocument/2006/relationships/hyperlink" Target="http://www.metalprices.com/historical/database/brass/brass-yellow-brass" TargetMode="External"/><Relationship Id="rId5" Type="http://schemas.openxmlformats.org/officeDocument/2006/relationships/hyperlink" Target="http://www.metalprices.com/historical/database/stainless-steel/stainless-steel-304-s-p" TargetMode="External"/><Relationship Id="rId4" Type="http://schemas.openxmlformats.org/officeDocument/2006/relationships/hyperlink" Target="http://www.metalprices.com/historical/database/stainless-steel/stainless-steel-304-s-p" TargetMode="External"/><Relationship Id="rId9" Type="http://schemas.openxmlformats.org/officeDocument/2006/relationships/hyperlink" Target="http://www.metalprices.com/metal/titanium/titanium-scrap-ferro-ti-quality-turnings-non-tin-bearing-gt-85-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82"/>
  <sheetViews>
    <sheetView showZeros="0" zoomScaleNormal="100" zoomScaleSheetLayoutView="100" workbookViewId="0">
      <pane xSplit="7" ySplit="3" topLeftCell="H46" activePane="bottomRight" state="frozen"/>
      <selection pane="topRight" activeCell="H1" sqref="H1"/>
      <selection pane="bottomLeft" activeCell="A4" sqref="A4"/>
      <selection pane="bottomRight" activeCell="E53" sqref="E53"/>
    </sheetView>
  </sheetViews>
  <sheetFormatPr defaultRowHeight="15" x14ac:dyDescent="0.25"/>
  <cols>
    <col min="1" max="1" width="2.42578125" style="1" customWidth="1"/>
    <col min="2" max="2" width="51.7109375" style="2" customWidth="1"/>
    <col min="3" max="3" width="4.85546875" style="63" bestFit="1" customWidth="1"/>
    <col min="4" max="4" width="10.140625" style="64" bestFit="1" customWidth="1"/>
    <col min="5" max="5" width="11.85546875" style="65" bestFit="1" customWidth="1"/>
    <col min="6" max="6" width="12.5703125" style="66" bestFit="1" customWidth="1"/>
    <col min="7" max="7" width="1.85546875" style="67" customWidth="1"/>
    <col min="8" max="8" width="17" style="194" customWidth="1"/>
    <col min="9" max="9" width="1.85546875" style="67" customWidth="1"/>
    <col min="10" max="10" width="5.5703125" style="68" bestFit="1" customWidth="1"/>
    <col min="11" max="11" width="10" style="63" customWidth="1"/>
    <col min="12" max="12" width="5.5703125" style="69" bestFit="1" customWidth="1"/>
    <col min="13" max="13" width="10" style="7" customWidth="1"/>
    <col min="14" max="14" width="4.5703125" style="7" bestFit="1" customWidth="1"/>
    <col min="15" max="15" width="9.28515625" style="2" customWidth="1"/>
    <col min="16" max="16" width="4.5703125" style="7" bestFit="1" customWidth="1"/>
    <col min="17" max="17" width="9.28515625" style="7" bestFit="1" customWidth="1"/>
    <col min="18" max="18" width="4.5703125" style="7" bestFit="1" customWidth="1"/>
    <col min="19" max="19" width="9.28515625" style="2" bestFit="1" customWidth="1"/>
    <col min="20" max="20" width="5.5703125" style="7" bestFit="1" customWidth="1"/>
    <col min="21" max="21" width="9.28515625" style="7" bestFit="1" customWidth="1"/>
    <col min="22" max="22" width="2" style="67" customWidth="1"/>
    <col min="23" max="23" width="5.7109375" style="68" bestFit="1" customWidth="1"/>
    <col min="24" max="24" width="10.85546875" style="7" bestFit="1" customWidth="1"/>
    <col min="25" max="25" width="5.5703125" style="69" bestFit="1" customWidth="1"/>
    <col min="26" max="26" width="10.85546875" style="7" bestFit="1" customWidth="1"/>
    <col min="27" max="27" width="5.5703125" style="7" bestFit="1" customWidth="1"/>
    <col min="28" max="28" width="10.85546875" style="2" bestFit="1" customWidth="1"/>
    <col min="29" max="29" width="5.5703125" style="7" bestFit="1" customWidth="1"/>
    <col min="30" max="30" width="10.85546875" style="7" bestFit="1" customWidth="1"/>
    <col min="31" max="31" width="5.5703125" style="7" bestFit="1" customWidth="1"/>
    <col min="32" max="32" width="10.85546875" style="2" bestFit="1" customWidth="1"/>
    <col min="33" max="33" width="5.5703125" style="7" bestFit="1" customWidth="1"/>
    <col min="34" max="34" width="10.85546875" style="2" bestFit="1" customWidth="1"/>
    <col min="35" max="35" width="1.42578125" style="70" customWidth="1"/>
    <col min="36" max="36" width="5.5703125" style="68" bestFit="1" customWidth="1"/>
    <col min="37" max="37" width="12.5703125" style="7" bestFit="1" customWidth="1"/>
    <col min="38" max="38" width="5.5703125" style="69" bestFit="1" customWidth="1"/>
    <col min="39" max="39" width="11.5703125" style="7" bestFit="1" customWidth="1"/>
    <col min="40" max="40" width="5.5703125" style="7" bestFit="1" customWidth="1"/>
    <col min="41" max="41" width="11.5703125" style="2" bestFit="1" customWidth="1"/>
    <col min="42" max="42" width="5.5703125" style="7" bestFit="1" customWidth="1"/>
    <col min="43" max="43" width="11.5703125" style="7" customWidth="1"/>
    <col min="44" max="44" width="5.5703125" style="7" bestFit="1" customWidth="1"/>
    <col min="45" max="45" width="11.5703125" style="2" bestFit="1" customWidth="1"/>
    <col min="46" max="46" width="5.5703125" style="7" bestFit="1" customWidth="1"/>
    <col min="47" max="47" width="11.5703125" style="2" bestFit="1" customWidth="1"/>
    <col min="48" max="48" width="1.28515625" style="70" customWidth="1"/>
    <col min="49" max="49" width="5.5703125" style="68" bestFit="1" customWidth="1"/>
    <col min="50" max="50" width="11.5703125" style="7" customWidth="1"/>
    <col min="51" max="51" width="5.7109375" style="69" bestFit="1" customWidth="1"/>
    <col min="52" max="52" width="11.5703125" style="7" bestFit="1" customWidth="1"/>
    <col min="53" max="53" width="5.7109375" style="7" bestFit="1" customWidth="1"/>
    <col min="54" max="54" width="11.5703125" style="2" bestFit="1" customWidth="1"/>
    <col min="55" max="55" width="5.7109375" style="7" bestFit="1" customWidth="1"/>
    <col min="56" max="56" width="11.5703125" style="7" customWidth="1"/>
    <col min="57" max="57" width="5.7109375" style="7" bestFit="1" customWidth="1"/>
    <col min="58" max="58" width="11.5703125" style="2" bestFit="1" customWidth="1"/>
    <col min="59" max="59" width="5.5703125" style="7" bestFit="1" customWidth="1"/>
    <col min="60" max="60" width="11.5703125" style="2" bestFit="1" customWidth="1"/>
    <col min="61" max="61" width="1.7109375" style="70" customWidth="1"/>
    <col min="62" max="62" width="5.5703125" style="68" bestFit="1" customWidth="1"/>
    <col min="63" max="63" width="11.5703125" style="7" customWidth="1"/>
    <col min="64" max="64" width="5.5703125" style="69" bestFit="1" customWidth="1"/>
    <col min="65" max="65" width="11.5703125" style="7" bestFit="1" customWidth="1"/>
    <col min="66" max="66" width="5.5703125" style="7" bestFit="1" customWidth="1"/>
    <col min="67" max="67" width="11.5703125" style="2" bestFit="1" customWidth="1"/>
    <col min="68" max="68" width="5.5703125" style="7" bestFit="1" customWidth="1"/>
    <col min="69" max="69" width="11.5703125" style="7" customWidth="1"/>
    <col min="70" max="70" width="5.5703125" style="7" bestFit="1" customWidth="1"/>
    <col min="71" max="71" width="11.5703125" style="2" bestFit="1" customWidth="1"/>
    <col min="72" max="72" width="5.5703125" style="7" bestFit="1" customWidth="1"/>
    <col min="73" max="73" width="11.5703125" style="2" bestFit="1" customWidth="1"/>
    <col min="74" max="74" width="1.28515625" style="70" customWidth="1"/>
    <col min="75" max="75" width="5.7109375" style="68" bestFit="1" customWidth="1"/>
    <col min="76" max="76" width="11.5703125" style="7" customWidth="1"/>
    <col min="77" max="77" width="5.5703125" style="69" bestFit="1" customWidth="1"/>
    <col min="78" max="78" width="11.5703125" style="7" bestFit="1" customWidth="1"/>
    <col min="79" max="79" width="5.5703125" style="7" bestFit="1" customWidth="1"/>
    <col min="80" max="80" width="11.5703125" style="2" bestFit="1" customWidth="1"/>
    <col min="81" max="81" width="5.5703125" style="7" bestFit="1" customWidth="1"/>
    <col min="82" max="82" width="11.5703125" style="7" customWidth="1"/>
    <col min="83" max="83" width="5.5703125" style="7" bestFit="1" customWidth="1"/>
    <col min="84" max="84" width="10" style="2" bestFit="1" customWidth="1"/>
    <col min="85" max="85" width="5.7109375" style="7" bestFit="1" customWidth="1"/>
    <col min="86" max="86" width="10" style="2" bestFit="1" customWidth="1"/>
    <col min="87" max="87" width="2.42578125" style="70" customWidth="1"/>
    <col min="88" max="88" width="4.7109375" style="68" bestFit="1" customWidth="1"/>
    <col min="89" max="89" width="11.85546875" style="7" bestFit="1" customWidth="1"/>
    <col min="90" max="90" width="5.5703125" style="69" bestFit="1" customWidth="1"/>
    <col min="91" max="91" width="8.28515625" style="7" bestFit="1" customWidth="1"/>
    <col min="92" max="92" width="6.5703125" style="7" bestFit="1" customWidth="1"/>
    <col min="93" max="93" width="8.28515625" style="2" bestFit="1" customWidth="1"/>
    <col min="94" max="94" width="5.5703125" style="7" bestFit="1" customWidth="1"/>
    <col min="95" max="95" width="8.28515625" style="7" bestFit="1" customWidth="1"/>
    <col min="96" max="96" width="5.5703125" style="7" bestFit="1" customWidth="1"/>
    <col min="97" max="97" width="8.28515625" style="2" bestFit="1" customWidth="1"/>
    <col min="98" max="98" width="5.5703125" style="7" bestFit="1" customWidth="1"/>
    <col min="99" max="99" width="8.28515625" style="2" bestFit="1" customWidth="1"/>
    <col min="100" max="100" width="1.85546875" style="70" customWidth="1"/>
    <col min="101" max="101" width="5.5703125" style="68" bestFit="1" customWidth="1"/>
    <col min="102" max="102" width="11.5703125" style="7" customWidth="1"/>
    <col min="103" max="103" width="5.5703125" style="69" bestFit="1" customWidth="1"/>
    <col min="104" max="104" width="11.5703125" style="7" bestFit="1" customWidth="1"/>
    <col min="105" max="105" width="5.5703125" style="7" bestFit="1" customWidth="1"/>
    <col min="106" max="106" width="11.5703125" style="2" bestFit="1" customWidth="1"/>
    <col min="107" max="107" width="5.5703125" style="7" bestFit="1" customWidth="1"/>
    <col min="108" max="108" width="11.5703125" style="7" customWidth="1"/>
    <col min="109" max="109" width="5.5703125" style="7" bestFit="1" customWidth="1"/>
    <col min="110" max="110" width="11.5703125" style="2" bestFit="1" customWidth="1"/>
    <col min="111" max="111" width="5.5703125" style="7" bestFit="1" customWidth="1"/>
    <col min="112" max="112" width="11.5703125" style="2" bestFit="1" customWidth="1"/>
    <col min="113" max="113" width="36.42578125" style="6" bestFit="1" customWidth="1"/>
    <col min="114" max="115" width="36.42578125" style="7" bestFit="1" customWidth="1"/>
    <col min="116" max="16384" width="9.140625" style="2"/>
  </cols>
  <sheetData>
    <row r="1" spans="1:116" x14ac:dyDescent="0.25">
      <c r="C1" s="240" t="s">
        <v>0</v>
      </c>
      <c r="D1" s="241"/>
      <c r="E1" s="241"/>
      <c r="F1" s="241"/>
      <c r="G1" s="3"/>
      <c r="H1" s="189"/>
      <c r="I1" s="3"/>
      <c r="J1" s="236" t="s">
        <v>1</v>
      </c>
      <c r="K1" s="237"/>
      <c r="L1" s="237"/>
      <c r="M1" s="237"/>
      <c r="N1" s="237"/>
      <c r="O1" s="237"/>
      <c r="P1" s="237"/>
      <c r="Q1" s="237"/>
      <c r="R1" s="237"/>
      <c r="S1" s="237"/>
      <c r="T1" s="237"/>
      <c r="U1" s="237"/>
      <c r="V1" s="3"/>
      <c r="W1" s="236" t="s">
        <v>2</v>
      </c>
      <c r="X1" s="237"/>
      <c r="Y1" s="237"/>
      <c r="Z1" s="237"/>
      <c r="AA1" s="237"/>
      <c r="AB1" s="237"/>
      <c r="AC1" s="237"/>
      <c r="AD1" s="237"/>
      <c r="AE1" s="237"/>
      <c r="AF1" s="237"/>
      <c r="AG1" s="237"/>
      <c r="AH1" s="237"/>
      <c r="AI1" s="4"/>
      <c r="AJ1" s="236" t="s">
        <v>3</v>
      </c>
      <c r="AK1" s="237"/>
      <c r="AL1" s="237"/>
      <c r="AM1" s="237"/>
      <c r="AN1" s="237"/>
      <c r="AO1" s="237"/>
      <c r="AP1" s="237"/>
      <c r="AQ1" s="237"/>
      <c r="AR1" s="237"/>
      <c r="AS1" s="237"/>
      <c r="AT1" s="237"/>
      <c r="AU1" s="237"/>
      <c r="AV1" s="4"/>
      <c r="AW1" s="236" t="s">
        <v>4</v>
      </c>
      <c r="AX1" s="237"/>
      <c r="AY1" s="237"/>
      <c r="AZ1" s="237"/>
      <c r="BA1" s="237"/>
      <c r="BB1" s="237"/>
      <c r="BC1" s="237"/>
      <c r="BD1" s="237"/>
      <c r="BE1" s="237"/>
      <c r="BF1" s="237"/>
      <c r="BG1" s="237"/>
      <c r="BH1" s="237"/>
      <c r="BI1" s="4"/>
      <c r="BJ1" s="236" t="s">
        <v>5</v>
      </c>
      <c r="BK1" s="237"/>
      <c r="BL1" s="237"/>
      <c r="BM1" s="237"/>
      <c r="BN1" s="237"/>
      <c r="BO1" s="237"/>
      <c r="BP1" s="237"/>
      <c r="BQ1" s="237"/>
      <c r="BR1" s="237"/>
      <c r="BS1" s="237"/>
      <c r="BT1" s="237"/>
      <c r="BU1" s="237"/>
      <c r="BV1" s="4"/>
      <c r="BW1" s="236" t="s">
        <v>6</v>
      </c>
      <c r="BX1" s="237"/>
      <c r="BY1" s="237"/>
      <c r="BZ1" s="237"/>
      <c r="CA1" s="237"/>
      <c r="CB1" s="237"/>
      <c r="CC1" s="237"/>
      <c r="CD1" s="237"/>
      <c r="CE1" s="5"/>
      <c r="CF1" s="5"/>
      <c r="CG1" s="5"/>
      <c r="CH1" s="5"/>
      <c r="CI1" s="4"/>
      <c r="CJ1" s="236" t="s">
        <v>7</v>
      </c>
      <c r="CK1" s="237"/>
      <c r="CL1" s="237"/>
      <c r="CM1" s="237"/>
      <c r="CN1" s="237"/>
      <c r="CO1" s="237"/>
      <c r="CP1" s="237"/>
      <c r="CQ1" s="237"/>
      <c r="CR1" s="237"/>
      <c r="CS1" s="237"/>
      <c r="CT1" s="237"/>
      <c r="CU1" s="237"/>
      <c r="CV1" s="4"/>
      <c r="CW1" s="236" t="s">
        <v>8</v>
      </c>
      <c r="CX1" s="237"/>
      <c r="CY1" s="237"/>
      <c r="CZ1" s="237"/>
      <c r="DA1" s="237"/>
      <c r="DB1" s="237"/>
      <c r="DC1" s="237"/>
      <c r="DD1" s="237"/>
      <c r="DE1" s="237"/>
      <c r="DF1" s="237"/>
      <c r="DG1" s="237"/>
      <c r="DH1" s="237"/>
    </row>
    <row r="2" spans="1:116" s="9" customFormat="1" ht="57.75" customHeight="1" x14ac:dyDescent="0.25">
      <c r="A2" s="8"/>
      <c r="C2" s="238"/>
      <c r="D2" s="239"/>
      <c r="E2" s="239"/>
      <c r="F2" s="239"/>
      <c r="G2" s="10"/>
      <c r="H2" s="190"/>
      <c r="I2" s="10"/>
      <c r="J2" s="11"/>
      <c r="K2" s="12"/>
      <c r="L2" s="234" t="s">
        <v>178</v>
      </c>
      <c r="M2" s="235"/>
      <c r="N2" s="234"/>
      <c r="O2" s="235"/>
      <c r="P2" s="234"/>
      <c r="Q2" s="235"/>
      <c r="R2" s="234"/>
      <c r="S2" s="235"/>
      <c r="T2" s="234"/>
      <c r="U2" s="235"/>
      <c r="V2" s="10"/>
      <c r="W2" s="11"/>
      <c r="X2" s="12"/>
      <c r="Y2" s="234" t="s">
        <v>178</v>
      </c>
      <c r="Z2" s="235"/>
      <c r="AA2" s="234"/>
      <c r="AB2" s="235"/>
      <c r="AC2" s="234"/>
      <c r="AD2" s="235"/>
      <c r="AE2" s="234"/>
      <c r="AF2" s="235"/>
      <c r="AG2" s="234"/>
      <c r="AH2" s="235"/>
      <c r="AI2" s="13"/>
      <c r="AJ2" s="11"/>
      <c r="AK2" s="12"/>
      <c r="AL2" s="234" t="s">
        <v>178</v>
      </c>
      <c r="AM2" s="235"/>
      <c r="AN2" s="234"/>
      <c r="AO2" s="235"/>
      <c r="AP2" s="234"/>
      <c r="AQ2" s="235"/>
      <c r="AR2" s="234"/>
      <c r="AS2" s="235"/>
      <c r="AT2" s="234"/>
      <c r="AU2" s="235"/>
      <c r="AV2" s="13"/>
      <c r="AW2" s="11"/>
      <c r="AX2" s="12"/>
      <c r="AY2" s="234" t="s">
        <v>178</v>
      </c>
      <c r="AZ2" s="235"/>
      <c r="BA2" s="234"/>
      <c r="BB2" s="235"/>
      <c r="BC2" s="234"/>
      <c r="BD2" s="235"/>
      <c r="BE2" s="234"/>
      <c r="BF2" s="235"/>
      <c r="BG2" s="234"/>
      <c r="BH2" s="235"/>
      <c r="BI2" s="13"/>
      <c r="BJ2" s="11"/>
      <c r="BK2" s="12"/>
      <c r="BL2" s="234" t="s">
        <v>178</v>
      </c>
      <c r="BM2" s="235"/>
      <c r="BN2" s="234"/>
      <c r="BO2" s="235"/>
      <c r="BP2" s="234"/>
      <c r="BQ2" s="235"/>
      <c r="BR2" s="234"/>
      <c r="BS2" s="235"/>
      <c r="BT2" s="234"/>
      <c r="BU2" s="235"/>
      <c r="BV2" s="13"/>
      <c r="BW2" s="11"/>
      <c r="BX2" s="12"/>
      <c r="BY2" s="234" t="s">
        <v>178</v>
      </c>
      <c r="BZ2" s="235"/>
      <c r="CA2" s="234"/>
      <c r="CB2" s="235"/>
      <c r="CC2" s="234"/>
      <c r="CD2" s="235"/>
      <c r="CE2" s="234"/>
      <c r="CF2" s="235"/>
      <c r="CG2" s="234"/>
      <c r="CH2" s="235"/>
      <c r="CI2" s="13"/>
      <c r="CJ2" s="11"/>
      <c r="CK2" s="12"/>
      <c r="CL2" s="234" t="s">
        <v>178</v>
      </c>
      <c r="CM2" s="235"/>
      <c r="CN2" s="234"/>
      <c r="CO2" s="235"/>
      <c r="CP2" s="234"/>
      <c r="CQ2" s="235"/>
      <c r="CR2" s="234"/>
      <c r="CS2" s="235"/>
      <c r="CT2" s="234"/>
      <c r="CU2" s="235"/>
      <c r="CV2" s="13"/>
      <c r="CW2" s="11"/>
      <c r="CX2" s="12"/>
      <c r="CY2" s="234" t="s">
        <v>178</v>
      </c>
      <c r="CZ2" s="235"/>
      <c r="DA2" s="234"/>
      <c r="DB2" s="235"/>
      <c r="DC2" s="234"/>
      <c r="DD2" s="235"/>
      <c r="DE2" s="234"/>
      <c r="DF2" s="235"/>
      <c r="DG2" s="234"/>
      <c r="DH2" s="235"/>
      <c r="DI2" s="14"/>
      <c r="DJ2" s="15"/>
      <c r="DK2" s="15"/>
    </row>
    <row r="3" spans="1:116" s="16" customFormat="1" ht="135" x14ac:dyDescent="0.25">
      <c r="B3" s="16" t="s">
        <v>9</v>
      </c>
      <c r="C3" s="17" t="s">
        <v>10</v>
      </c>
      <c r="D3" s="18" t="s">
        <v>11</v>
      </c>
      <c r="E3" s="19" t="s">
        <v>12</v>
      </c>
      <c r="F3" s="20" t="s">
        <v>13</v>
      </c>
      <c r="G3" s="21"/>
      <c r="H3" s="191" t="s">
        <v>280</v>
      </c>
      <c r="I3" s="21"/>
      <c r="J3" s="22" t="s">
        <v>14</v>
      </c>
      <c r="K3" s="23" t="s">
        <v>0</v>
      </c>
      <c r="L3" s="24" t="s">
        <v>14</v>
      </c>
      <c r="M3" s="25" t="s">
        <v>13</v>
      </c>
      <c r="N3" s="26" t="s">
        <v>14</v>
      </c>
      <c r="O3" s="25" t="s">
        <v>13</v>
      </c>
      <c r="P3" s="26" t="s">
        <v>14</v>
      </c>
      <c r="Q3" s="25" t="s">
        <v>13</v>
      </c>
      <c r="R3" s="26" t="s">
        <v>14</v>
      </c>
      <c r="S3" s="25" t="s">
        <v>13</v>
      </c>
      <c r="T3" s="26" t="s">
        <v>14</v>
      </c>
      <c r="U3" s="25" t="s">
        <v>13</v>
      </c>
      <c r="V3" s="21"/>
      <c r="W3" s="22" t="s">
        <v>14</v>
      </c>
      <c r="X3" s="23" t="s">
        <v>0</v>
      </c>
      <c r="Y3" s="24" t="s">
        <v>14</v>
      </c>
      <c r="Z3" s="25" t="s">
        <v>13</v>
      </c>
      <c r="AA3" s="26" t="s">
        <v>14</v>
      </c>
      <c r="AB3" s="25" t="s">
        <v>13</v>
      </c>
      <c r="AC3" s="26" t="s">
        <v>14</v>
      </c>
      <c r="AD3" s="25" t="s">
        <v>13</v>
      </c>
      <c r="AE3" s="26" t="s">
        <v>14</v>
      </c>
      <c r="AF3" s="25" t="s">
        <v>13</v>
      </c>
      <c r="AG3" s="26" t="s">
        <v>14</v>
      </c>
      <c r="AH3" s="25" t="s">
        <v>13</v>
      </c>
      <c r="AI3" s="27"/>
      <c r="AJ3" s="22" t="s">
        <v>14</v>
      </c>
      <c r="AK3" s="23" t="s">
        <v>0</v>
      </c>
      <c r="AL3" s="24" t="s">
        <v>14</v>
      </c>
      <c r="AM3" s="25" t="s">
        <v>13</v>
      </c>
      <c r="AN3" s="26" t="s">
        <v>14</v>
      </c>
      <c r="AO3" s="25" t="s">
        <v>13</v>
      </c>
      <c r="AP3" s="26" t="s">
        <v>14</v>
      </c>
      <c r="AQ3" s="25" t="s">
        <v>13</v>
      </c>
      <c r="AR3" s="26" t="s">
        <v>14</v>
      </c>
      <c r="AS3" s="25" t="s">
        <v>13</v>
      </c>
      <c r="AT3" s="26" t="s">
        <v>14</v>
      </c>
      <c r="AU3" s="25" t="s">
        <v>13</v>
      </c>
      <c r="AV3" s="27"/>
      <c r="AW3" s="22" t="s">
        <v>14</v>
      </c>
      <c r="AX3" s="23" t="s">
        <v>0</v>
      </c>
      <c r="AY3" s="24" t="s">
        <v>14</v>
      </c>
      <c r="AZ3" s="25" t="s">
        <v>13</v>
      </c>
      <c r="BA3" s="26" t="s">
        <v>14</v>
      </c>
      <c r="BB3" s="25" t="s">
        <v>13</v>
      </c>
      <c r="BC3" s="26" t="s">
        <v>14</v>
      </c>
      <c r="BD3" s="25" t="s">
        <v>13</v>
      </c>
      <c r="BE3" s="26" t="s">
        <v>14</v>
      </c>
      <c r="BF3" s="25" t="s">
        <v>13</v>
      </c>
      <c r="BG3" s="26" t="s">
        <v>14</v>
      </c>
      <c r="BH3" s="25" t="s">
        <v>13</v>
      </c>
      <c r="BI3" s="27"/>
      <c r="BJ3" s="22" t="s">
        <v>14</v>
      </c>
      <c r="BK3" s="23" t="s">
        <v>0</v>
      </c>
      <c r="BL3" s="24" t="s">
        <v>14</v>
      </c>
      <c r="BM3" s="25" t="s">
        <v>13</v>
      </c>
      <c r="BN3" s="26" t="s">
        <v>14</v>
      </c>
      <c r="BO3" s="25" t="s">
        <v>13</v>
      </c>
      <c r="BP3" s="26" t="s">
        <v>14</v>
      </c>
      <c r="BQ3" s="25" t="s">
        <v>13</v>
      </c>
      <c r="BR3" s="26" t="s">
        <v>14</v>
      </c>
      <c r="BS3" s="25" t="s">
        <v>13</v>
      </c>
      <c r="BT3" s="26" t="s">
        <v>14</v>
      </c>
      <c r="BU3" s="25" t="s">
        <v>13</v>
      </c>
      <c r="BV3" s="27"/>
      <c r="BW3" s="22" t="s">
        <v>14</v>
      </c>
      <c r="BX3" s="23" t="s">
        <v>0</v>
      </c>
      <c r="BY3" s="24" t="s">
        <v>14</v>
      </c>
      <c r="BZ3" s="25" t="s">
        <v>13</v>
      </c>
      <c r="CA3" s="26" t="s">
        <v>14</v>
      </c>
      <c r="CB3" s="25" t="s">
        <v>13</v>
      </c>
      <c r="CC3" s="26" t="s">
        <v>14</v>
      </c>
      <c r="CD3" s="25" t="s">
        <v>13</v>
      </c>
      <c r="CE3" s="26" t="s">
        <v>14</v>
      </c>
      <c r="CF3" s="25" t="s">
        <v>13</v>
      </c>
      <c r="CG3" s="26" t="s">
        <v>14</v>
      </c>
      <c r="CH3" s="25" t="s">
        <v>13</v>
      </c>
      <c r="CI3" s="27"/>
      <c r="CJ3" s="22" t="s">
        <v>14</v>
      </c>
      <c r="CK3" s="23" t="s">
        <v>0</v>
      </c>
      <c r="CL3" s="24" t="s">
        <v>14</v>
      </c>
      <c r="CM3" s="25" t="s">
        <v>13</v>
      </c>
      <c r="CN3" s="26" t="s">
        <v>14</v>
      </c>
      <c r="CO3" s="25" t="s">
        <v>13</v>
      </c>
      <c r="CP3" s="26" t="s">
        <v>14</v>
      </c>
      <c r="CQ3" s="25" t="s">
        <v>13</v>
      </c>
      <c r="CR3" s="26" t="s">
        <v>14</v>
      </c>
      <c r="CS3" s="25" t="s">
        <v>13</v>
      </c>
      <c r="CT3" s="26" t="s">
        <v>14</v>
      </c>
      <c r="CU3" s="25" t="s">
        <v>13</v>
      </c>
      <c r="CV3" s="27"/>
      <c r="CW3" s="22" t="s">
        <v>14</v>
      </c>
      <c r="CX3" s="23" t="s">
        <v>0</v>
      </c>
      <c r="CY3" s="24" t="s">
        <v>14</v>
      </c>
      <c r="CZ3" s="25" t="s">
        <v>13</v>
      </c>
      <c r="DA3" s="26" t="s">
        <v>14</v>
      </c>
      <c r="DB3" s="25" t="s">
        <v>13</v>
      </c>
      <c r="DC3" s="26" t="s">
        <v>14</v>
      </c>
      <c r="DD3" s="25" t="s">
        <v>13</v>
      </c>
      <c r="DE3" s="26" t="s">
        <v>14</v>
      </c>
      <c r="DF3" s="25" t="s">
        <v>13</v>
      </c>
      <c r="DG3" s="26" t="s">
        <v>14</v>
      </c>
      <c r="DH3" s="25" t="s">
        <v>13</v>
      </c>
      <c r="DI3" s="28" t="s">
        <v>15</v>
      </c>
      <c r="DJ3" s="29" t="s">
        <v>16</v>
      </c>
      <c r="DK3" s="29" t="s">
        <v>17</v>
      </c>
      <c r="DL3" s="16" t="s">
        <v>18</v>
      </c>
    </row>
    <row r="4" spans="1:116" s="16" customFormat="1" x14ac:dyDescent="0.25">
      <c r="A4" s="30" t="s">
        <v>19</v>
      </c>
      <c r="C4" s="31"/>
      <c r="D4" s="32"/>
      <c r="E4" s="33"/>
      <c r="F4" s="34">
        <f t="shared" ref="F4:F16" si="0">D4*E4</f>
        <v>0</v>
      </c>
      <c r="G4" s="35"/>
      <c r="H4" s="192"/>
      <c r="I4" s="35"/>
      <c r="J4" s="36"/>
      <c r="K4" s="37">
        <f>J4*$F4</f>
        <v>0</v>
      </c>
      <c r="L4" s="38"/>
      <c r="M4" s="39">
        <f>L4*K4</f>
        <v>0</v>
      </c>
      <c r="N4" s="38"/>
      <c r="O4" s="39">
        <f>N4*K4</f>
        <v>0</v>
      </c>
      <c r="P4" s="38"/>
      <c r="Q4" s="39">
        <f>P4*K4</f>
        <v>0</v>
      </c>
      <c r="R4" s="38"/>
      <c r="S4" s="39">
        <f>R4*K4</f>
        <v>0</v>
      </c>
      <c r="T4" s="38"/>
      <c r="U4" s="39">
        <f>T4*K4</f>
        <v>0</v>
      </c>
      <c r="V4" s="35"/>
      <c r="W4" s="36"/>
      <c r="X4" s="37">
        <f>W4*$F4</f>
        <v>0</v>
      </c>
      <c r="Y4" s="38"/>
      <c r="Z4" s="39">
        <f>Y4*X4</f>
        <v>0</v>
      </c>
      <c r="AA4" s="38"/>
      <c r="AB4" s="39">
        <f>AA4*X4</f>
        <v>0</v>
      </c>
      <c r="AC4" s="38"/>
      <c r="AD4" s="39">
        <f>AC4*X4</f>
        <v>0</v>
      </c>
      <c r="AE4" s="38"/>
      <c r="AF4" s="39">
        <f>AE4*X4</f>
        <v>0</v>
      </c>
      <c r="AG4" s="38"/>
      <c r="AH4" s="39">
        <f>AG4*X4</f>
        <v>0</v>
      </c>
      <c r="AI4" s="40"/>
      <c r="AJ4" s="36"/>
      <c r="AK4" s="37">
        <f>AJ4*$F4</f>
        <v>0</v>
      </c>
      <c r="AL4" s="38"/>
      <c r="AM4" s="39">
        <f>AL4*AK4</f>
        <v>0</v>
      </c>
      <c r="AN4" s="38"/>
      <c r="AO4" s="39">
        <f>AN4*AK4</f>
        <v>0</v>
      </c>
      <c r="AP4" s="38"/>
      <c r="AQ4" s="39">
        <f>AP4*AK4</f>
        <v>0</v>
      </c>
      <c r="AR4" s="38"/>
      <c r="AS4" s="39">
        <f>AR4*AK4</f>
        <v>0</v>
      </c>
      <c r="AT4" s="38"/>
      <c r="AU4" s="39">
        <f>AT4*AK4</f>
        <v>0</v>
      </c>
      <c r="AV4" s="40"/>
      <c r="AW4" s="36"/>
      <c r="AX4" s="37">
        <f>AW4*$F4</f>
        <v>0</v>
      </c>
      <c r="AY4" s="38"/>
      <c r="AZ4" s="39">
        <f>AY4*AX4</f>
        <v>0</v>
      </c>
      <c r="BA4" s="38"/>
      <c r="BB4" s="39">
        <f>BA4*AX4</f>
        <v>0</v>
      </c>
      <c r="BC4" s="38"/>
      <c r="BD4" s="39">
        <f>BC4*AX4</f>
        <v>0</v>
      </c>
      <c r="BE4" s="38"/>
      <c r="BF4" s="39">
        <f>BE4*AX4</f>
        <v>0</v>
      </c>
      <c r="BG4" s="38"/>
      <c r="BH4" s="39">
        <f>BG4*AX4</f>
        <v>0</v>
      </c>
      <c r="BI4" s="40"/>
      <c r="BJ4" s="36"/>
      <c r="BK4" s="37">
        <f>BJ4*$F4</f>
        <v>0</v>
      </c>
      <c r="BL4" s="38"/>
      <c r="BM4" s="39">
        <f>BL4*BK4</f>
        <v>0</v>
      </c>
      <c r="BN4" s="38"/>
      <c r="BO4" s="39">
        <f>BN4*BK4</f>
        <v>0</v>
      </c>
      <c r="BP4" s="38"/>
      <c r="BQ4" s="39">
        <f>BP4*BK4</f>
        <v>0</v>
      </c>
      <c r="BR4" s="38"/>
      <c r="BS4" s="39">
        <f>BR4*BK4</f>
        <v>0</v>
      </c>
      <c r="BT4" s="38"/>
      <c r="BU4" s="39">
        <f>BT4*BK4</f>
        <v>0</v>
      </c>
      <c r="BV4" s="40"/>
      <c r="BW4" s="36"/>
      <c r="BX4" s="37">
        <f>BW4*$F4</f>
        <v>0</v>
      </c>
      <c r="BY4" s="38"/>
      <c r="BZ4" s="39">
        <f>BY4*BX4</f>
        <v>0</v>
      </c>
      <c r="CA4" s="38"/>
      <c r="CB4" s="39">
        <f>CA4*BX4</f>
        <v>0</v>
      </c>
      <c r="CC4" s="38"/>
      <c r="CD4" s="39">
        <f>CC4*BX4</f>
        <v>0</v>
      </c>
      <c r="CE4" s="38"/>
      <c r="CF4" s="39">
        <f>CE4*BX4</f>
        <v>0</v>
      </c>
      <c r="CG4" s="38"/>
      <c r="CH4" s="39">
        <f>CG4*BX4</f>
        <v>0</v>
      </c>
      <c r="CI4" s="40"/>
      <c r="CJ4" s="36"/>
      <c r="CK4" s="37">
        <f>CJ4*$F4</f>
        <v>0</v>
      </c>
      <c r="CL4" s="38"/>
      <c r="CM4" s="39">
        <f>CL4*CK4</f>
        <v>0</v>
      </c>
      <c r="CN4" s="38"/>
      <c r="CO4" s="39">
        <f>CN4*CK4</f>
        <v>0</v>
      </c>
      <c r="CP4" s="38"/>
      <c r="CQ4" s="39">
        <f>CP4*CK4</f>
        <v>0</v>
      </c>
      <c r="CR4" s="38"/>
      <c r="CS4" s="39">
        <f>CR4*CK4</f>
        <v>0</v>
      </c>
      <c r="CT4" s="38"/>
      <c r="CU4" s="39">
        <f>CT4*CK4</f>
        <v>0</v>
      </c>
      <c r="CV4" s="40"/>
      <c r="CW4" s="36"/>
      <c r="CX4" s="37">
        <f>CW4*$F4</f>
        <v>0</v>
      </c>
      <c r="CY4" s="38"/>
      <c r="CZ4" s="39">
        <f>CY4*CX4</f>
        <v>0</v>
      </c>
      <c r="DA4" s="38"/>
      <c r="DB4" s="39">
        <f>DA4*CX4</f>
        <v>0</v>
      </c>
      <c r="DC4" s="38"/>
      <c r="DD4" s="39">
        <f>DC4*CX4</f>
        <v>0</v>
      </c>
      <c r="DE4" s="38"/>
      <c r="DF4" s="39">
        <f>DE4*CX4</f>
        <v>0</v>
      </c>
      <c r="DG4" s="38"/>
      <c r="DH4" s="39">
        <f>DG4*CX4</f>
        <v>0</v>
      </c>
      <c r="DI4" s="41">
        <f t="shared" ref="DI4:DI26" si="1">F4</f>
        <v>0</v>
      </c>
      <c r="DJ4" s="41">
        <f t="shared" ref="DJ4:DJ30" si="2">K4+X4+AK4+AX4+BK4+BX4+CK4+CX4</f>
        <v>0</v>
      </c>
      <c r="DK4" s="41">
        <f>M4+O4+Q4+S4+U4+Z4+AB4+AD4+AF4+AH4+AM4+AO4+AQ4+AS4+AU4+AZ4+BB4+BD4+BF4+BH4+BM4+BO4+BQ4+BS4+BU4+BZ4+CB4+CD4+CF4+CH4+CM4+CO4+CQ4+CS4+CU4+CZ4+DB4+DD4+DF4+DH4</f>
        <v>0</v>
      </c>
      <c r="DL4" s="16">
        <f>IF(AND(DI4=DJ4,DJ4=DK4,DI4=DK4),0,1)</f>
        <v>0</v>
      </c>
    </row>
    <row r="5" spans="1:116" s="16" customFormat="1" x14ac:dyDescent="0.25">
      <c r="B5" s="2" t="s">
        <v>20</v>
      </c>
      <c r="C5" s="42" t="s">
        <v>21</v>
      </c>
      <c r="D5" s="43">
        <v>1</v>
      </c>
      <c r="E5" s="34">
        <v>50000</v>
      </c>
      <c r="F5" s="34">
        <v>50000</v>
      </c>
      <c r="G5" s="40"/>
      <c r="H5" s="195">
        <v>50000</v>
      </c>
      <c r="I5" s="40"/>
      <c r="J5" s="36">
        <v>1</v>
      </c>
      <c r="K5" s="37">
        <f t="shared" ref="K5:K44" si="3">J5*$F5</f>
        <v>50000</v>
      </c>
      <c r="L5" s="38">
        <v>0.2</v>
      </c>
      <c r="M5" s="39">
        <f t="shared" ref="M5:M44" si="4">L5*K5</f>
        <v>10000</v>
      </c>
      <c r="N5" s="38">
        <v>0.15</v>
      </c>
      <c r="O5" s="39">
        <f t="shared" ref="O5:O44" si="5">N5*K5</f>
        <v>7500</v>
      </c>
      <c r="P5" s="38">
        <v>0.2</v>
      </c>
      <c r="Q5" s="39">
        <f t="shared" ref="Q5:Q44" si="6">P5*K5</f>
        <v>10000</v>
      </c>
      <c r="R5" s="38">
        <v>0.35</v>
      </c>
      <c r="S5" s="39">
        <f t="shared" ref="S5:S44" si="7">R5*K5</f>
        <v>17500</v>
      </c>
      <c r="T5" s="38">
        <v>0.1</v>
      </c>
      <c r="U5" s="39">
        <f t="shared" ref="U5:U44" si="8">T5*K5</f>
        <v>5000</v>
      </c>
      <c r="V5" s="40"/>
      <c r="W5" s="36"/>
      <c r="X5" s="37">
        <f t="shared" ref="X5:X44" si="9">W5*$F5</f>
        <v>0</v>
      </c>
      <c r="Y5" s="38"/>
      <c r="Z5" s="39">
        <f t="shared" ref="Z5:Z44" si="10">Y5*X5</f>
        <v>0</v>
      </c>
      <c r="AA5" s="38"/>
      <c r="AB5" s="39">
        <f t="shared" ref="AB5:AB44" si="11">AA5*X5</f>
        <v>0</v>
      </c>
      <c r="AC5" s="38"/>
      <c r="AD5" s="39">
        <f t="shared" ref="AD5:AD44" si="12">AC5*X5</f>
        <v>0</v>
      </c>
      <c r="AE5" s="38"/>
      <c r="AF5" s="39">
        <f t="shared" ref="AF5:AF44" si="13">AE5*X5</f>
        <v>0</v>
      </c>
      <c r="AG5" s="38"/>
      <c r="AH5" s="39">
        <f t="shared" ref="AH5:AH44" si="14">AG5*X5</f>
        <v>0</v>
      </c>
      <c r="AI5" s="40"/>
      <c r="AJ5" s="36"/>
      <c r="AK5" s="37">
        <f t="shared" ref="AK5:AK44" si="15">AJ5*$F5</f>
        <v>0</v>
      </c>
      <c r="AL5" s="38"/>
      <c r="AM5" s="39">
        <f t="shared" ref="AM5:AM44" si="16">AL5*AK5</f>
        <v>0</v>
      </c>
      <c r="AN5" s="38"/>
      <c r="AO5" s="39">
        <f t="shared" ref="AO5:AO44" si="17">AN5*AK5</f>
        <v>0</v>
      </c>
      <c r="AP5" s="38"/>
      <c r="AQ5" s="39">
        <f t="shared" ref="AQ5:AQ44" si="18">AP5*AK5</f>
        <v>0</v>
      </c>
      <c r="AR5" s="38"/>
      <c r="AS5" s="39">
        <f t="shared" ref="AS5:AS44" si="19">AR5*AK5</f>
        <v>0</v>
      </c>
      <c r="AT5" s="38"/>
      <c r="AU5" s="39">
        <f t="shared" ref="AU5:AU44" si="20">AT5*AK5</f>
        <v>0</v>
      </c>
      <c r="AV5" s="40"/>
      <c r="AW5" s="36"/>
      <c r="AX5" s="37">
        <f t="shared" ref="AX5:AX44" si="21">AW5*$F5</f>
        <v>0</v>
      </c>
      <c r="AY5" s="38"/>
      <c r="AZ5" s="39">
        <f t="shared" ref="AZ5:AZ44" si="22">AY5*AX5</f>
        <v>0</v>
      </c>
      <c r="BA5" s="38"/>
      <c r="BB5" s="39">
        <f t="shared" ref="BB5:BB44" si="23">BA5*AX5</f>
        <v>0</v>
      </c>
      <c r="BC5" s="38"/>
      <c r="BD5" s="39">
        <f t="shared" ref="BD5:BD44" si="24">BC5*AX5</f>
        <v>0</v>
      </c>
      <c r="BE5" s="38"/>
      <c r="BF5" s="39">
        <f t="shared" ref="BF5:BF44" si="25">BE5*AX5</f>
        <v>0</v>
      </c>
      <c r="BG5" s="38"/>
      <c r="BH5" s="39">
        <f t="shared" ref="BH5:BH44" si="26">BG5*AX5</f>
        <v>0</v>
      </c>
      <c r="BI5" s="40"/>
      <c r="BJ5" s="36"/>
      <c r="BK5" s="37">
        <f t="shared" ref="BK5:BK44" si="27">BJ5*$F5</f>
        <v>0</v>
      </c>
      <c r="BL5" s="38"/>
      <c r="BM5" s="39">
        <f t="shared" ref="BM5:BM44" si="28">BL5*BK5</f>
        <v>0</v>
      </c>
      <c r="BN5" s="38"/>
      <c r="BO5" s="39">
        <f t="shared" ref="BO5:BO44" si="29">BN5*BK5</f>
        <v>0</v>
      </c>
      <c r="BP5" s="38"/>
      <c r="BQ5" s="39">
        <f t="shared" ref="BQ5:BQ44" si="30">BP5*BK5</f>
        <v>0</v>
      </c>
      <c r="BR5" s="38"/>
      <c r="BS5" s="39">
        <f t="shared" ref="BS5:BS44" si="31">BR5*BK5</f>
        <v>0</v>
      </c>
      <c r="BT5" s="38"/>
      <c r="BU5" s="39">
        <f t="shared" ref="BU5:BU44" si="32">BT5*BK5</f>
        <v>0</v>
      </c>
      <c r="BV5" s="40"/>
      <c r="BW5" s="36"/>
      <c r="BX5" s="37">
        <f t="shared" ref="BX5:BX44" si="33">BW5*$F5</f>
        <v>0</v>
      </c>
      <c r="BY5" s="38"/>
      <c r="BZ5" s="39">
        <f t="shared" ref="BZ5:BZ44" si="34">BY5*BX5</f>
        <v>0</v>
      </c>
      <c r="CA5" s="38"/>
      <c r="CB5" s="39">
        <f t="shared" ref="CB5:CB44" si="35">CA5*BX5</f>
        <v>0</v>
      </c>
      <c r="CC5" s="38"/>
      <c r="CD5" s="39">
        <f t="shared" ref="CD5:CD44" si="36">CC5*BX5</f>
        <v>0</v>
      </c>
      <c r="CE5" s="38"/>
      <c r="CF5" s="39">
        <f t="shared" ref="CF5:CF30" si="37">CE5*BX5</f>
        <v>0</v>
      </c>
      <c r="CG5" s="38"/>
      <c r="CH5" s="39">
        <f t="shared" ref="CH5:CH30" si="38">CG5*BX5</f>
        <v>0</v>
      </c>
      <c r="CI5" s="40"/>
      <c r="CJ5" s="36"/>
      <c r="CK5" s="37">
        <f t="shared" ref="CK5:CK44" si="39">CJ5*$F5</f>
        <v>0</v>
      </c>
      <c r="CL5" s="38"/>
      <c r="CM5" s="39">
        <f t="shared" ref="CM5:CM44" si="40">CL5*CK5</f>
        <v>0</v>
      </c>
      <c r="CN5" s="38"/>
      <c r="CO5" s="39">
        <f t="shared" ref="CO5:CO44" si="41">CN5*CK5</f>
        <v>0</v>
      </c>
      <c r="CP5" s="38"/>
      <c r="CQ5" s="39">
        <f t="shared" ref="CQ5:CQ44" si="42">CP5*CK5</f>
        <v>0</v>
      </c>
      <c r="CR5" s="38"/>
      <c r="CS5" s="39">
        <f t="shared" ref="CS5:CS44" si="43">CR5*CK5</f>
        <v>0</v>
      </c>
      <c r="CT5" s="38"/>
      <c r="CU5" s="39">
        <f t="shared" ref="CU5:CU44" si="44">CT5*CK5</f>
        <v>0</v>
      </c>
      <c r="CV5" s="40"/>
      <c r="CW5" s="36"/>
      <c r="CX5" s="37">
        <f t="shared" ref="CX5:CX44" si="45">CW5*$F5</f>
        <v>0</v>
      </c>
      <c r="CY5" s="38"/>
      <c r="CZ5" s="39">
        <f t="shared" ref="CZ5:CZ44" si="46">CY5*CX5</f>
        <v>0</v>
      </c>
      <c r="DA5" s="38"/>
      <c r="DB5" s="39">
        <f t="shared" ref="DB5:DB44" si="47">DA5*CX5</f>
        <v>0</v>
      </c>
      <c r="DC5" s="38"/>
      <c r="DD5" s="39">
        <f t="shared" ref="DD5:DD44" si="48">DC5*CX5</f>
        <v>0</v>
      </c>
      <c r="DE5" s="38"/>
      <c r="DF5" s="39">
        <f t="shared" ref="DF5:DF44" si="49">DE5*CX5</f>
        <v>0</v>
      </c>
      <c r="DG5" s="38"/>
      <c r="DH5" s="39">
        <f t="shared" ref="DH5:DH44" si="50">DG5*CX5</f>
        <v>0</v>
      </c>
      <c r="DI5" s="41">
        <f t="shared" si="1"/>
        <v>50000</v>
      </c>
      <c r="DJ5" s="41">
        <f t="shared" si="2"/>
        <v>50000</v>
      </c>
      <c r="DK5" s="41">
        <f t="shared" ref="DK5:DK36" si="51">M5+O5+Q5+S5+U5+Z5+AB5+AD5+AF5+AH5+AM5+AO5+AQ5+AS5+AU5+AZ5+BB5+BD5+BF5+BH5+BM5+BO5+BQ5+BS5+BU5+BZ5+CB5+CD5+CF5+CH5+CM5+CO5+CQ5+CS5+CU5+CZ5+DB5+DD5+DF5+DH5</f>
        <v>50000</v>
      </c>
      <c r="DL5" s="16">
        <f>IF(AND(DI5=DJ5,DJ5=DK5,DI5=DK5),0,1)</f>
        <v>0</v>
      </c>
    </row>
    <row r="6" spans="1:116" s="16" customFormat="1" x14ac:dyDescent="0.25">
      <c r="B6" s="2" t="s">
        <v>22</v>
      </c>
      <c r="C6" s="42" t="s">
        <v>21</v>
      </c>
      <c r="D6" s="43">
        <v>1</v>
      </c>
      <c r="E6" s="34">
        <v>450000</v>
      </c>
      <c r="F6" s="34">
        <v>450000</v>
      </c>
      <c r="G6" s="40"/>
      <c r="H6" s="195">
        <v>450000</v>
      </c>
      <c r="I6" s="40"/>
      <c r="J6" s="36">
        <v>1</v>
      </c>
      <c r="K6" s="37">
        <f t="shared" si="3"/>
        <v>450000</v>
      </c>
      <c r="L6" s="38">
        <v>0.2</v>
      </c>
      <c r="M6" s="39">
        <f t="shared" si="4"/>
        <v>90000</v>
      </c>
      <c r="N6" s="38">
        <v>0.15</v>
      </c>
      <c r="O6" s="39">
        <f t="shared" si="5"/>
        <v>67500</v>
      </c>
      <c r="P6" s="38">
        <v>0.2</v>
      </c>
      <c r="Q6" s="39">
        <f t="shared" si="6"/>
        <v>90000</v>
      </c>
      <c r="R6" s="38">
        <v>0.35</v>
      </c>
      <c r="S6" s="39">
        <f t="shared" si="7"/>
        <v>157500</v>
      </c>
      <c r="T6" s="38">
        <v>0.1</v>
      </c>
      <c r="U6" s="39">
        <f t="shared" si="8"/>
        <v>45000</v>
      </c>
      <c r="V6" s="40"/>
      <c r="W6" s="36"/>
      <c r="X6" s="37">
        <f t="shared" si="9"/>
        <v>0</v>
      </c>
      <c r="Y6" s="38"/>
      <c r="Z6" s="39">
        <f t="shared" si="10"/>
        <v>0</v>
      </c>
      <c r="AA6" s="38"/>
      <c r="AB6" s="39">
        <f t="shared" si="11"/>
        <v>0</v>
      </c>
      <c r="AC6" s="38"/>
      <c r="AD6" s="39">
        <f t="shared" si="12"/>
        <v>0</v>
      </c>
      <c r="AE6" s="38"/>
      <c r="AF6" s="39">
        <f t="shared" si="13"/>
        <v>0</v>
      </c>
      <c r="AG6" s="38"/>
      <c r="AH6" s="39">
        <f t="shared" si="14"/>
        <v>0</v>
      </c>
      <c r="AI6" s="40"/>
      <c r="AJ6" s="36"/>
      <c r="AK6" s="37">
        <f t="shared" si="15"/>
        <v>0</v>
      </c>
      <c r="AL6" s="38"/>
      <c r="AM6" s="39">
        <f t="shared" si="16"/>
        <v>0</v>
      </c>
      <c r="AN6" s="38"/>
      <c r="AO6" s="39">
        <f t="shared" si="17"/>
        <v>0</v>
      </c>
      <c r="AP6" s="38"/>
      <c r="AQ6" s="39">
        <f t="shared" si="18"/>
        <v>0</v>
      </c>
      <c r="AR6" s="38"/>
      <c r="AS6" s="39">
        <f t="shared" si="19"/>
        <v>0</v>
      </c>
      <c r="AT6" s="38"/>
      <c r="AU6" s="39">
        <f t="shared" si="20"/>
        <v>0</v>
      </c>
      <c r="AV6" s="40"/>
      <c r="AW6" s="36"/>
      <c r="AX6" s="37">
        <f t="shared" si="21"/>
        <v>0</v>
      </c>
      <c r="AY6" s="38"/>
      <c r="AZ6" s="39">
        <f t="shared" si="22"/>
        <v>0</v>
      </c>
      <c r="BA6" s="38"/>
      <c r="BB6" s="39">
        <f t="shared" si="23"/>
        <v>0</v>
      </c>
      <c r="BC6" s="38"/>
      <c r="BD6" s="39">
        <f t="shared" si="24"/>
        <v>0</v>
      </c>
      <c r="BE6" s="38"/>
      <c r="BF6" s="39">
        <f t="shared" si="25"/>
        <v>0</v>
      </c>
      <c r="BG6" s="38"/>
      <c r="BH6" s="39">
        <f t="shared" si="26"/>
        <v>0</v>
      </c>
      <c r="BI6" s="40"/>
      <c r="BJ6" s="36"/>
      <c r="BK6" s="37">
        <f t="shared" si="27"/>
        <v>0</v>
      </c>
      <c r="BL6" s="38"/>
      <c r="BM6" s="39">
        <f t="shared" si="28"/>
        <v>0</v>
      </c>
      <c r="BN6" s="38"/>
      <c r="BO6" s="39">
        <f t="shared" si="29"/>
        <v>0</v>
      </c>
      <c r="BP6" s="38"/>
      <c r="BQ6" s="39">
        <f t="shared" si="30"/>
        <v>0</v>
      </c>
      <c r="BR6" s="38"/>
      <c r="BS6" s="39">
        <f t="shared" si="31"/>
        <v>0</v>
      </c>
      <c r="BT6" s="38"/>
      <c r="BU6" s="39">
        <f t="shared" si="32"/>
        <v>0</v>
      </c>
      <c r="BV6" s="40"/>
      <c r="BW6" s="36"/>
      <c r="BX6" s="37">
        <f t="shared" si="33"/>
        <v>0</v>
      </c>
      <c r="BY6" s="38"/>
      <c r="BZ6" s="39">
        <f t="shared" si="34"/>
        <v>0</v>
      </c>
      <c r="CA6" s="38"/>
      <c r="CB6" s="39">
        <f t="shared" si="35"/>
        <v>0</v>
      </c>
      <c r="CC6" s="38"/>
      <c r="CD6" s="39">
        <f t="shared" si="36"/>
        <v>0</v>
      </c>
      <c r="CE6" s="38"/>
      <c r="CF6" s="39">
        <f t="shared" si="37"/>
        <v>0</v>
      </c>
      <c r="CG6" s="38"/>
      <c r="CH6" s="39">
        <f t="shared" si="38"/>
        <v>0</v>
      </c>
      <c r="CI6" s="40"/>
      <c r="CJ6" s="36"/>
      <c r="CK6" s="37">
        <f t="shared" si="39"/>
        <v>0</v>
      </c>
      <c r="CL6" s="38"/>
      <c r="CM6" s="39">
        <f t="shared" si="40"/>
        <v>0</v>
      </c>
      <c r="CN6" s="38"/>
      <c r="CO6" s="39">
        <f t="shared" si="41"/>
        <v>0</v>
      </c>
      <c r="CP6" s="38"/>
      <c r="CQ6" s="39">
        <f t="shared" si="42"/>
        <v>0</v>
      </c>
      <c r="CR6" s="38"/>
      <c r="CS6" s="39">
        <f t="shared" si="43"/>
        <v>0</v>
      </c>
      <c r="CT6" s="38"/>
      <c r="CU6" s="39">
        <f t="shared" si="44"/>
        <v>0</v>
      </c>
      <c r="CV6" s="40"/>
      <c r="CW6" s="36"/>
      <c r="CX6" s="37">
        <f t="shared" si="45"/>
        <v>0</v>
      </c>
      <c r="CY6" s="38"/>
      <c r="CZ6" s="39">
        <f t="shared" si="46"/>
        <v>0</v>
      </c>
      <c r="DA6" s="38"/>
      <c r="DB6" s="39">
        <f t="shared" si="47"/>
        <v>0</v>
      </c>
      <c r="DC6" s="38"/>
      <c r="DD6" s="39">
        <f t="shared" si="48"/>
        <v>0</v>
      </c>
      <c r="DE6" s="38"/>
      <c r="DF6" s="39">
        <f t="shared" si="49"/>
        <v>0</v>
      </c>
      <c r="DG6" s="38"/>
      <c r="DH6" s="39">
        <f t="shared" si="50"/>
        <v>0</v>
      </c>
      <c r="DI6" s="41">
        <f t="shared" si="1"/>
        <v>450000</v>
      </c>
      <c r="DJ6" s="41">
        <f t="shared" si="2"/>
        <v>450000</v>
      </c>
      <c r="DK6" s="41">
        <f t="shared" si="51"/>
        <v>450000</v>
      </c>
      <c r="DL6" s="16">
        <f t="shared" ref="DL6:DL60" si="52">IF(AND(DI6=DJ6,DJ6=DK6,DI6=DK6),0,1)</f>
        <v>0</v>
      </c>
    </row>
    <row r="7" spans="1:116" s="16" customFormat="1" x14ac:dyDescent="0.25">
      <c r="B7" s="44" t="s">
        <v>23</v>
      </c>
      <c r="C7" s="42" t="s">
        <v>21</v>
      </c>
      <c r="D7" s="43">
        <v>1</v>
      </c>
      <c r="E7" s="34">
        <v>50000</v>
      </c>
      <c r="F7" s="34">
        <v>50000</v>
      </c>
      <c r="G7" s="40"/>
      <c r="H7" s="195">
        <v>50000</v>
      </c>
      <c r="I7" s="40"/>
      <c r="J7" s="36">
        <v>1</v>
      </c>
      <c r="K7" s="37">
        <f t="shared" si="3"/>
        <v>50000</v>
      </c>
      <c r="L7" s="38">
        <v>0.2</v>
      </c>
      <c r="M7" s="39">
        <f t="shared" si="4"/>
        <v>10000</v>
      </c>
      <c r="N7" s="38">
        <v>0.15</v>
      </c>
      <c r="O7" s="39">
        <f t="shared" si="5"/>
        <v>7500</v>
      </c>
      <c r="P7" s="38">
        <v>0.2</v>
      </c>
      <c r="Q7" s="39">
        <f t="shared" si="6"/>
        <v>10000</v>
      </c>
      <c r="R7" s="38">
        <v>0.35</v>
      </c>
      <c r="S7" s="39">
        <f t="shared" si="7"/>
        <v>17500</v>
      </c>
      <c r="T7" s="38">
        <v>0.1</v>
      </c>
      <c r="U7" s="39">
        <f t="shared" si="8"/>
        <v>5000</v>
      </c>
      <c r="V7" s="40"/>
      <c r="W7" s="36"/>
      <c r="X7" s="37">
        <f t="shared" si="9"/>
        <v>0</v>
      </c>
      <c r="Y7" s="38"/>
      <c r="Z7" s="39">
        <f t="shared" si="10"/>
        <v>0</v>
      </c>
      <c r="AA7" s="38"/>
      <c r="AB7" s="39">
        <f t="shared" si="11"/>
        <v>0</v>
      </c>
      <c r="AC7" s="38"/>
      <c r="AD7" s="39">
        <f t="shared" si="12"/>
        <v>0</v>
      </c>
      <c r="AE7" s="38"/>
      <c r="AF7" s="39">
        <f t="shared" si="13"/>
        <v>0</v>
      </c>
      <c r="AG7" s="38"/>
      <c r="AH7" s="39">
        <f t="shared" si="14"/>
        <v>0</v>
      </c>
      <c r="AI7" s="40"/>
      <c r="AJ7" s="36"/>
      <c r="AK7" s="37">
        <f t="shared" si="15"/>
        <v>0</v>
      </c>
      <c r="AL7" s="38"/>
      <c r="AM7" s="39">
        <f t="shared" si="16"/>
        <v>0</v>
      </c>
      <c r="AN7" s="38"/>
      <c r="AO7" s="39">
        <f t="shared" si="17"/>
        <v>0</v>
      </c>
      <c r="AP7" s="38"/>
      <c r="AQ7" s="39">
        <f t="shared" si="18"/>
        <v>0</v>
      </c>
      <c r="AR7" s="38"/>
      <c r="AS7" s="39">
        <f t="shared" si="19"/>
        <v>0</v>
      </c>
      <c r="AT7" s="38"/>
      <c r="AU7" s="39">
        <f t="shared" si="20"/>
        <v>0</v>
      </c>
      <c r="AV7" s="40"/>
      <c r="AW7" s="36"/>
      <c r="AX7" s="37">
        <f t="shared" si="21"/>
        <v>0</v>
      </c>
      <c r="AY7" s="38"/>
      <c r="AZ7" s="39">
        <f t="shared" si="22"/>
        <v>0</v>
      </c>
      <c r="BA7" s="38"/>
      <c r="BB7" s="39">
        <f t="shared" si="23"/>
        <v>0</v>
      </c>
      <c r="BC7" s="38"/>
      <c r="BD7" s="39">
        <f t="shared" si="24"/>
        <v>0</v>
      </c>
      <c r="BE7" s="38"/>
      <c r="BF7" s="39">
        <f t="shared" si="25"/>
        <v>0</v>
      </c>
      <c r="BG7" s="38"/>
      <c r="BH7" s="39">
        <f t="shared" si="26"/>
        <v>0</v>
      </c>
      <c r="BI7" s="40"/>
      <c r="BJ7" s="36"/>
      <c r="BK7" s="37">
        <f t="shared" si="27"/>
        <v>0</v>
      </c>
      <c r="BL7" s="38"/>
      <c r="BM7" s="39">
        <f t="shared" si="28"/>
        <v>0</v>
      </c>
      <c r="BN7" s="38"/>
      <c r="BO7" s="39">
        <f t="shared" si="29"/>
        <v>0</v>
      </c>
      <c r="BP7" s="38"/>
      <c r="BQ7" s="39">
        <f t="shared" si="30"/>
        <v>0</v>
      </c>
      <c r="BR7" s="38"/>
      <c r="BS7" s="39">
        <f t="shared" si="31"/>
        <v>0</v>
      </c>
      <c r="BT7" s="38"/>
      <c r="BU7" s="39">
        <f t="shared" si="32"/>
        <v>0</v>
      </c>
      <c r="BV7" s="40"/>
      <c r="BW7" s="36"/>
      <c r="BX7" s="37">
        <f t="shared" si="33"/>
        <v>0</v>
      </c>
      <c r="BY7" s="38"/>
      <c r="BZ7" s="39">
        <f t="shared" si="34"/>
        <v>0</v>
      </c>
      <c r="CA7" s="38"/>
      <c r="CB7" s="39">
        <f t="shared" si="35"/>
        <v>0</v>
      </c>
      <c r="CC7" s="38"/>
      <c r="CD7" s="39">
        <f t="shared" si="36"/>
        <v>0</v>
      </c>
      <c r="CE7" s="38"/>
      <c r="CF7" s="39">
        <f t="shared" si="37"/>
        <v>0</v>
      </c>
      <c r="CG7" s="38"/>
      <c r="CH7" s="39">
        <f t="shared" si="38"/>
        <v>0</v>
      </c>
      <c r="CI7" s="40"/>
      <c r="CJ7" s="36"/>
      <c r="CK7" s="37">
        <f t="shared" si="39"/>
        <v>0</v>
      </c>
      <c r="CL7" s="38"/>
      <c r="CM7" s="39">
        <f t="shared" si="40"/>
        <v>0</v>
      </c>
      <c r="CN7" s="38"/>
      <c r="CO7" s="39">
        <f t="shared" si="41"/>
        <v>0</v>
      </c>
      <c r="CP7" s="38"/>
      <c r="CQ7" s="39">
        <f t="shared" si="42"/>
        <v>0</v>
      </c>
      <c r="CR7" s="38"/>
      <c r="CS7" s="39">
        <f t="shared" si="43"/>
        <v>0</v>
      </c>
      <c r="CT7" s="38"/>
      <c r="CU7" s="39">
        <f t="shared" si="44"/>
        <v>0</v>
      </c>
      <c r="CV7" s="40"/>
      <c r="CW7" s="36"/>
      <c r="CX7" s="37">
        <f t="shared" si="45"/>
        <v>0</v>
      </c>
      <c r="CY7" s="38"/>
      <c r="CZ7" s="39">
        <f t="shared" si="46"/>
        <v>0</v>
      </c>
      <c r="DA7" s="38"/>
      <c r="DB7" s="39">
        <f t="shared" si="47"/>
        <v>0</v>
      </c>
      <c r="DC7" s="38"/>
      <c r="DD7" s="39">
        <f t="shared" si="48"/>
        <v>0</v>
      </c>
      <c r="DE7" s="38"/>
      <c r="DF7" s="39">
        <f t="shared" si="49"/>
        <v>0</v>
      </c>
      <c r="DG7" s="38"/>
      <c r="DH7" s="39">
        <f t="shared" si="50"/>
        <v>0</v>
      </c>
      <c r="DI7" s="41">
        <f t="shared" si="1"/>
        <v>50000</v>
      </c>
      <c r="DJ7" s="41">
        <f t="shared" si="2"/>
        <v>50000</v>
      </c>
      <c r="DK7" s="41">
        <f t="shared" si="51"/>
        <v>50000</v>
      </c>
      <c r="DL7" s="16">
        <f t="shared" si="52"/>
        <v>0</v>
      </c>
    </row>
    <row r="8" spans="1:116" s="16" customFormat="1" x14ac:dyDescent="0.25">
      <c r="B8" s="2"/>
      <c r="C8" s="45"/>
      <c r="D8" s="43"/>
      <c r="E8" s="34"/>
      <c r="F8" s="34"/>
      <c r="G8" s="40"/>
      <c r="H8" s="195">
        <v>0</v>
      </c>
      <c r="I8" s="40"/>
      <c r="J8" s="36"/>
      <c r="K8" s="37">
        <f t="shared" si="3"/>
        <v>0</v>
      </c>
      <c r="L8" s="38"/>
      <c r="M8" s="39">
        <f t="shared" si="4"/>
        <v>0</v>
      </c>
      <c r="N8" s="38"/>
      <c r="O8" s="39">
        <f t="shared" si="5"/>
        <v>0</v>
      </c>
      <c r="P8" s="38"/>
      <c r="Q8" s="39">
        <f t="shared" si="6"/>
        <v>0</v>
      </c>
      <c r="R8" s="38"/>
      <c r="S8" s="39">
        <f t="shared" si="7"/>
        <v>0</v>
      </c>
      <c r="T8" s="38"/>
      <c r="U8" s="39">
        <f t="shared" si="8"/>
        <v>0</v>
      </c>
      <c r="V8" s="40"/>
      <c r="W8" s="36"/>
      <c r="X8" s="37">
        <f t="shared" si="9"/>
        <v>0</v>
      </c>
      <c r="Y8" s="38"/>
      <c r="Z8" s="39">
        <f t="shared" si="10"/>
        <v>0</v>
      </c>
      <c r="AA8" s="38"/>
      <c r="AB8" s="39">
        <f t="shared" si="11"/>
        <v>0</v>
      </c>
      <c r="AC8" s="38"/>
      <c r="AD8" s="39">
        <f t="shared" si="12"/>
        <v>0</v>
      </c>
      <c r="AE8" s="38"/>
      <c r="AF8" s="39">
        <f t="shared" si="13"/>
        <v>0</v>
      </c>
      <c r="AG8" s="38"/>
      <c r="AH8" s="39">
        <f t="shared" si="14"/>
        <v>0</v>
      </c>
      <c r="AI8" s="40"/>
      <c r="AJ8" s="36"/>
      <c r="AK8" s="37">
        <f t="shared" si="15"/>
        <v>0</v>
      </c>
      <c r="AL8" s="38"/>
      <c r="AM8" s="39">
        <f t="shared" si="16"/>
        <v>0</v>
      </c>
      <c r="AN8" s="38"/>
      <c r="AO8" s="39">
        <f t="shared" si="17"/>
        <v>0</v>
      </c>
      <c r="AP8" s="38"/>
      <c r="AQ8" s="39">
        <f t="shared" si="18"/>
        <v>0</v>
      </c>
      <c r="AR8" s="38"/>
      <c r="AS8" s="39">
        <f t="shared" si="19"/>
        <v>0</v>
      </c>
      <c r="AT8" s="38"/>
      <c r="AU8" s="39">
        <f t="shared" si="20"/>
        <v>0</v>
      </c>
      <c r="AV8" s="40"/>
      <c r="AW8" s="36"/>
      <c r="AX8" s="37">
        <f t="shared" si="21"/>
        <v>0</v>
      </c>
      <c r="AY8" s="38"/>
      <c r="AZ8" s="39">
        <f t="shared" si="22"/>
        <v>0</v>
      </c>
      <c r="BA8" s="38"/>
      <c r="BB8" s="39">
        <f t="shared" si="23"/>
        <v>0</v>
      </c>
      <c r="BC8" s="38"/>
      <c r="BD8" s="39">
        <f t="shared" si="24"/>
        <v>0</v>
      </c>
      <c r="BE8" s="38"/>
      <c r="BF8" s="39">
        <f t="shared" si="25"/>
        <v>0</v>
      </c>
      <c r="BG8" s="38"/>
      <c r="BH8" s="39">
        <f t="shared" si="26"/>
        <v>0</v>
      </c>
      <c r="BI8" s="40"/>
      <c r="BJ8" s="36"/>
      <c r="BK8" s="37">
        <f t="shared" si="27"/>
        <v>0</v>
      </c>
      <c r="BL8" s="38"/>
      <c r="BM8" s="39">
        <f t="shared" si="28"/>
        <v>0</v>
      </c>
      <c r="BN8" s="38"/>
      <c r="BO8" s="39">
        <f t="shared" si="29"/>
        <v>0</v>
      </c>
      <c r="BP8" s="38"/>
      <c r="BQ8" s="39">
        <f t="shared" si="30"/>
        <v>0</v>
      </c>
      <c r="BR8" s="38"/>
      <c r="BS8" s="39">
        <f t="shared" si="31"/>
        <v>0</v>
      </c>
      <c r="BT8" s="38"/>
      <c r="BU8" s="39">
        <f t="shared" si="32"/>
        <v>0</v>
      </c>
      <c r="BV8" s="40"/>
      <c r="BW8" s="36"/>
      <c r="BX8" s="37">
        <f t="shared" si="33"/>
        <v>0</v>
      </c>
      <c r="BY8" s="38"/>
      <c r="BZ8" s="39">
        <f t="shared" si="34"/>
        <v>0</v>
      </c>
      <c r="CA8" s="38"/>
      <c r="CB8" s="39">
        <f t="shared" si="35"/>
        <v>0</v>
      </c>
      <c r="CC8" s="38"/>
      <c r="CD8" s="39">
        <f t="shared" si="36"/>
        <v>0</v>
      </c>
      <c r="CE8" s="38"/>
      <c r="CF8" s="39">
        <f t="shared" si="37"/>
        <v>0</v>
      </c>
      <c r="CG8" s="38"/>
      <c r="CH8" s="39">
        <f t="shared" si="38"/>
        <v>0</v>
      </c>
      <c r="CI8" s="40"/>
      <c r="CJ8" s="36"/>
      <c r="CK8" s="37">
        <f t="shared" si="39"/>
        <v>0</v>
      </c>
      <c r="CL8" s="38"/>
      <c r="CM8" s="39">
        <f t="shared" si="40"/>
        <v>0</v>
      </c>
      <c r="CN8" s="38"/>
      <c r="CO8" s="39">
        <f t="shared" si="41"/>
        <v>0</v>
      </c>
      <c r="CP8" s="38"/>
      <c r="CQ8" s="39">
        <f t="shared" si="42"/>
        <v>0</v>
      </c>
      <c r="CR8" s="38"/>
      <c r="CS8" s="39">
        <f t="shared" si="43"/>
        <v>0</v>
      </c>
      <c r="CT8" s="38"/>
      <c r="CU8" s="39">
        <f t="shared" si="44"/>
        <v>0</v>
      </c>
      <c r="CV8" s="40"/>
      <c r="CW8" s="36"/>
      <c r="CX8" s="37">
        <f t="shared" si="45"/>
        <v>0</v>
      </c>
      <c r="CY8" s="38"/>
      <c r="CZ8" s="39">
        <f t="shared" si="46"/>
        <v>0</v>
      </c>
      <c r="DA8" s="38"/>
      <c r="DB8" s="39">
        <f t="shared" si="47"/>
        <v>0</v>
      </c>
      <c r="DC8" s="38"/>
      <c r="DD8" s="39">
        <f t="shared" si="48"/>
        <v>0</v>
      </c>
      <c r="DE8" s="38"/>
      <c r="DF8" s="39">
        <f t="shared" si="49"/>
        <v>0</v>
      </c>
      <c r="DG8" s="38"/>
      <c r="DH8" s="39">
        <f t="shared" si="50"/>
        <v>0</v>
      </c>
      <c r="DI8" s="41">
        <f t="shared" si="1"/>
        <v>0</v>
      </c>
      <c r="DJ8" s="41">
        <f t="shared" si="2"/>
        <v>0</v>
      </c>
      <c r="DK8" s="41">
        <f t="shared" si="51"/>
        <v>0</v>
      </c>
      <c r="DL8" s="16">
        <f t="shared" si="52"/>
        <v>0</v>
      </c>
    </row>
    <row r="9" spans="1:116" x14ac:dyDescent="0.25">
      <c r="A9" s="1" t="s">
        <v>24</v>
      </c>
      <c r="C9" s="45"/>
      <c r="D9" s="53"/>
      <c r="E9" s="34"/>
      <c r="F9" s="34">
        <v>0</v>
      </c>
      <c r="G9" s="40"/>
      <c r="H9" s="195">
        <v>0</v>
      </c>
      <c r="I9" s="40"/>
      <c r="J9" s="36"/>
      <c r="K9" s="37">
        <f t="shared" si="3"/>
        <v>0</v>
      </c>
      <c r="L9" s="38"/>
      <c r="M9" s="39">
        <f t="shared" si="4"/>
        <v>0</v>
      </c>
      <c r="N9" s="38"/>
      <c r="O9" s="39">
        <f t="shared" si="5"/>
        <v>0</v>
      </c>
      <c r="P9" s="38"/>
      <c r="Q9" s="39">
        <f t="shared" si="6"/>
        <v>0</v>
      </c>
      <c r="R9" s="38"/>
      <c r="S9" s="39">
        <f t="shared" si="7"/>
        <v>0</v>
      </c>
      <c r="T9" s="38"/>
      <c r="U9" s="39">
        <f t="shared" si="8"/>
        <v>0</v>
      </c>
      <c r="V9" s="40"/>
      <c r="W9" s="36"/>
      <c r="X9" s="37">
        <f t="shared" si="9"/>
        <v>0</v>
      </c>
      <c r="Y9" s="38"/>
      <c r="Z9" s="39">
        <f t="shared" si="10"/>
        <v>0</v>
      </c>
      <c r="AA9" s="38"/>
      <c r="AB9" s="39">
        <f t="shared" si="11"/>
        <v>0</v>
      </c>
      <c r="AC9" s="38"/>
      <c r="AD9" s="39">
        <f t="shared" si="12"/>
        <v>0</v>
      </c>
      <c r="AE9" s="38"/>
      <c r="AF9" s="39">
        <f t="shared" si="13"/>
        <v>0</v>
      </c>
      <c r="AG9" s="38"/>
      <c r="AH9" s="39">
        <f t="shared" si="14"/>
        <v>0</v>
      </c>
      <c r="AI9" s="40"/>
      <c r="AJ9" s="36"/>
      <c r="AK9" s="37">
        <f t="shared" si="15"/>
        <v>0</v>
      </c>
      <c r="AL9" s="38"/>
      <c r="AM9" s="39">
        <f t="shared" si="16"/>
        <v>0</v>
      </c>
      <c r="AN9" s="38"/>
      <c r="AO9" s="39">
        <f t="shared" si="17"/>
        <v>0</v>
      </c>
      <c r="AP9" s="38"/>
      <c r="AQ9" s="39">
        <f t="shared" si="18"/>
        <v>0</v>
      </c>
      <c r="AR9" s="38"/>
      <c r="AS9" s="39">
        <f t="shared" si="19"/>
        <v>0</v>
      </c>
      <c r="AT9" s="38"/>
      <c r="AU9" s="39">
        <f t="shared" si="20"/>
        <v>0</v>
      </c>
      <c r="AV9" s="40"/>
      <c r="AW9" s="36"/>
      <c r="AX9" s="37">
        <f t="shared" si="21"/>
        <v>0</v>
      </c>
      <c r="AY9" s="38"/>
      <c r="AZ9" s="39">
        <f t="shared" si="22"/>
        <v>0</v>
      </c>
      <c r="BA9" s="38"/>
      <c r="BB9" s="39">
        <f t="shared" si="23"/>
        <v>0</v>
      </c>
      <c r="BC9" s="38"/>
      <c r="BD9" s="39">
        <f t="shared" si="24"/>
        <v>0</v>
      </c>
      <c r="BE9" s="38"/>
      <c r="BF9" s="39">
        <f t="shared" si="25"/>
        <v>0</v>
      </c>
      <c r="BG9" s="38"/>
      <c r="BH9" s="39">
        <f t="shared" si="26"/>
        <v>0</v>
      </c>
      <c r="BI9" s="40"/>
      <c r="BJ9" s="36"/>
      <c r="BK9" s="37">
        <f t="shared" si="27"/>
        <v>0</v>
      </c>
      <c r="BL9" s="38"/>
      <c r="BM9" s="39">
        <f t="shared" si="28"/>
        <v>0</v>
      </c>
      <c r="BN9" s="38"/>
      <c r="BO9" s="39">
        <f t="shared" si="29"/>
        <v>0</v>
      </c>
      <c r="BP9" s="38"/>
      <c r="BQ9" s="39">
        <f t="shared" si="30"/>
        <v>0</v>
      </c>
      <c r="BR9" s="38"/>
      <c r="BS9" s="39">
        <f t="shared" si="31"/>
        <v>0</v>
      </c>
      <c r="BT9" s="38"/>
      <c r="BU9" s="39">
        <f t="shared" si="32"/>
        <v>0</v>
      </c>
      <c r="BV9" s="40"/>
      <c r="BW9" s="36"/>
      <c r="BX9" s="37">
        <f t="shared" si="33"/>
        <v>0</v>
      </c>
      <c r="BY9" s="38"/>
      <c r="BZ9" s="39">
        <f t="shared" si="34"/>
        <v>0</v>
      </c>
      <c r="CA9" s="38"/>
      <c r="CB9" s="39">
        <f t="shared" si="35"/>
        <v>0</v>
      </c>
      <c r="CC9" s="38"/>
      <c r="CD9" s="39">
        <f t="shared" si="36"/>
        <v>0</v>
      </c>
      <c r="CE9" s="38"/>
      <c r="CF9" s="39">
        <f t="shared" si="37"/>
        <v>0</v>
      </c>
      <c r="CG9" s="38"/>
      <c r="CH9" s="39">
        <f t="shared" si="38"/>
        <v>0</v>
      </c>
      <c r="CI9" s="40"/>
      <c r="CJ9" s="36"/>
      <c r="CK9" s="37">
        <f t="shared" si="39"/>
        <v>0</v>
      </c>
      <c r="CL9" s="38"/>
      <c r="CM9" s="39">
        <f t="shared" si="40"/>
        <v>0</v>
      </c>
      <c r="CN9" s="38"/>
      <c r="CO9" s="39">
        <f t="shared" si="41"/>
        <v>0</v>
      </c>
      <c r="CP9" s="38"/>
      <c r="CQ9" s="39">
        <f t="shared" si="42"/>
        <v>0</v>
      </c>
      <c r="CR9" s="38"/>
      <c r="CS9" s="39">
        <f t="shared" si="43"/>
        <v>0</v>
      </c>
      <c r="CT9" s="38"/>
      <c r="CU9" s="39">
        <f t="shared" si="44"/>
        <v>0</v>
      </c>
      <c r="CV9" s="40"/>
      <c r="CW9" s="36"/>
      <c r="CX9" s="37">
        <f t="shared" si="45"/>
        <v>0</v>
      </c>
      <c r="CY9" s="38"/>
      <c r="CZ9" s="39">
        <f t="shared" si="46"/>
        <v>0</v>
      </c>
      <c r="DA9" s="38"/>
      <c r="DB9" s="39">
        <f t="shared" si="47"/>
        <v>0</v>
      </c>
      <c r="DC9" s="38"/>
      <c r="DD9" s="39">
        <f t="shared" si="48"/>
        <v>0</v>
      </c>
      <c r="DE9" s="38"/>
      <c r="DF9" s="39">
        <f t="shared" si="49"/>
        <v>0</v>
      </c>
      <c r="DG9" s="38"/>
      <c r="DH9" s="39">
        <f t="shared" si="50"/>
        <v>0</v>
      </c>
      <c r="DI9" s="41">
        <f t="shared" si="1"/>
        <v>0</v>
      </c>
      <c r="DJ9" s="41">
        <f t="shared" si="2"/>
        <v>0</v>
      </c>
      <c r="DK9" s="41">
        <f t="shared" si="51"/>
        <v>0</v>
      </c>
      <c r="DL9" s="16">
        <f t="shared" si="52"/>
        <v>0</v>
      </c>
    </row>
    <row r="10" spans="1:116" x14ac:dyDescent="0.25">
      <c r="A10" s="2"/>
      <c r="B10" s="2" t="s">
        <v>25</v>
      </c>
      <c r="C10" s="42" t="s">
        <v>21</v>
      </c>
      <c r="D10" s="53">
        <v>1</v>
      </c>
      <c r="E10" s="34">
        <v>450000</v>
      </c>
      <c r="F10" s="34">
        <v>450000</v>
      </c>
      <c r="G10" s="40"/>
      <c r="H10" s="195">
        <v>450000</v>
      </c>
      <c r="I10" s="40"/>
      <c r="J10" s="36">
        <v>0.125</v>
      </c>
      <c r="K10" s="37">
        <f t="shared" si="3"/>
        <v>56250</v>
      </c>
      <c r="L10" s="38">
        <v>0.2</v>
      </c>
      <c r="M10" s="39">
        <f t="shared" si="4"/>
        <v>11250</v>
      </c>
      <c r="N10" s="38">
        <v>0.15</v>
      </c>
      <c r="O10" s="39">
        <f t="shared" si="5"/>
        <v>8437.5</v>
      </c>
      <c r="P10" s="38">
        <v>0.2</v>
      </c>
      <c r="Q10" s="39">
        <f t="shared" si="6"/>
        <v>11250</v>
      </c>
      <c r="R10" s="38">
        <v>0.35</v>
      </c>
      <c r="S10" s="39">
        <f t="shared" si="7"/>
        <v>19687.5</v>
      </c>
      <c r="T10" s="38">
        <v>0.1</v>
      </c>
      <c r="U10" s="39">
        <f t="shared" si="8"/>
        <v>5625</v>
      </c>
      <c r="V10" s="40"/>
      <c r="W10" s="36">
        <v>0.125</v>
      </c>
      <c r="X10" s="37">
        <f t="shared" si="9"/>
        <v>56250</v>
      </c>
      <c r="Y10" s="38">
        <v>0.2</v>
      </c>
      <c r="Z10" s="39">
        <f t="shared" si="10"/>
        <v>11250</v>
      </c>
      <c r="AA10" s="38">
        <v>0.15</v>
      </c>
      <c r="AB10" s="39">
        <f t="shared" si="11"/>
        <v>8437.5</v>
      </c>
      <c r="AC10" s="38">
        <v>0.2</v>
      </c>
      <c r="AD10" s="39">
        <f t="shared" si="12"/>
        <v>11250</v>
      </c>
      <c r="AE10" s="38">
        <v>0.35</v>
      </c>
      <c r="AF10" s="39">
        <f t="shared" si="13"/>
        <v>19687.5</v>
      </c>
      <c r="AG10" s="38">
        <v>0.1</v>
      </c>
      <c r="AH10" s="39">
        <f t="shared" si="14"/>
        <v>5625</v>
      </c>
      <c r="AI10" s="40"/>
      <c r="AJ10" s="36">
        <v>0.125</v>
      </c>
      <c r="AK10" s="37">
        <f t="shared" si="15"/>
        <v>56250</v>
      </c>
      <c r="AL10" s="38">
        <v>0.2</v>
      </c>
      <c r="AM10" s="39">
        <f t="shared" si="16"/>
        <v>11250</v>
      </c>
      <c r="AN10" s="38">
        <v>0.15</v>
      </c>
      <c r="AO10" s="39">
        <f t="shared" si="17"/>
        <v>8437.5</v>
      </c>
      <c r="AP10" s="38">
        <v>0.2</v>
      </c>
      <c r="AQ10" s="39">
        <f t="shared" si="18"/>
        <v>11250</v>
      </c>
      <c r="AR10" s="38">
        <v>0.35</v>
      </c>
      <c r="AS10" s="39">
        <f t="shared" si="19"/>
        <v>19687.5</v>
      </c>
      <c r="AT10" s="38">
        <v>0.1</v>
      </c>
      <c r="AU10" s="39">
        <f t="shared" si="20"/>
        <v>5625</v>
      </c>
      <c r="AV10" s="40"/>
      <c r="AW10" s="36">
        <v>0.125</v>
      </c>
      <c r="AX10" s="37">
        <f t="shared" si="21"/>
        <v>56250</v>
      </c>
      <c r="AY10" s="38">
        <v>0.2</v>
      </c>
      <c r="AZ10" s="39">
        <f t="shared" si="22"/>
        <v>11250</v>
      </c>
      <c r="BA10" s="38">
        <v>0.15</v>
      </c>
      <c r="BB10" s="39">
        <f t="shared" si="23"/>
        <v>8437.5</v>
      </c>
      <c r="BC10" s="38">
        <v>0.2</v>
      </c>
      <c r="BD10" s="39">
        <f t="shared" si="24"/>
        <v>11250</v>
      </c>
      <c r="BE10" s="38">
        <v>0.35</v>
      </c>
      <c r="BF10" s="39">
        <f t="shared" si="25"/>
        <v>19687.5</v>
      </c>
      <c r="BG10" s="38">
        <v>0.1</v>
      </c>
      <c r="BH10" s="39">
        <f t="shared" si="26"/>
        <v>5625</v>
      </c>
      <c r="BI10" s="40"/>
      <c r="BJ10" s="36">
        <v>0.125</v>
      </c>
      <c r="BK10" s="37">
        <f t="shared" si="27"/>
        <v>56250</v>
      </c>
      <c r="BL10" s="38">
        <v>0.1</v>
      </c>
      <c r="BM10" s="39">
        <f t="shared" si="28"/>
        <v>5625</v>
      </c>
      <c r="BN10" s="38">
        <v>0.1</v>
      </c>
      <c r="BO10" s="39">
        <f t="shared" si="29"/>
        <v>5625</v>
      </c>
      <c r="BP10" s="38">
        <v>0.15</v>
      </c>
      <c r="BQ10" s="39">
        <f t="shared" si="30"/>
        <v>8437.5</v>
      </c>
      <c r="BR10" s="38">
        <v>0.15</v>
      </c>
      <c r="BS10" s="39">
        <f t="shared" si="31"/>
        <v>8437.5</v>
      </c>
      <c r="BT10" s="38">
        <v>0.5</v>
      </c>
      <c r="BU10" s="39">
        <f t="shared" si="32"/>
        <v>28125</v>
      </c>
      <c r="BV10" s="40"/>
      <c r="BW10" s="36">
        <v>0.125</v>
      </c>
      <c r="BX10" s="37">
        <f t="shared" si="33"/>
        <v>56250</v>
      </c>
      <c r="BY10" s="38">
        <v>0.2</v>
      </c>
      <c r="BZ10" s="39">
        <f t="shared" si="34"/>
        <v>11250</v>
      </c>
      <c r="CA10" s="38">
        <v>0.15</v>
      </c>
      <c r="CB10" s="39">
        <f t="shared" si="35"/>
        <v>8437.5</v>
      </c>
      <c r="CC10" s="38">
        <v>0.2</v>
      </c>
      <c r="CD10" s="39">
        <f t="shared" si="36"/>
        <v>11250</v>
      </c>
      <c r="CE10" s="38">
        <v>0.35</v>
      </c>
      <c r="CF10" s="39">
        <f t="shared" si="37"/>
        <v>19687.5</v>
      </c>
      <c r="CG10" s="38">
        <v>0.1</v>
      </c>
      <c r="CH10" s="39">
        <f t="shared" si="38"/>
        <v>5625</v>
      </c>
      <c r="CI10" s="40"/>
      <c r="CJ10" s="36">
        <v>0.125</v>
      </c>
      <c r="CK10" s="37">
        <f t="shared" si="39"/>
        <v>56250</v>
      </c>
      <c r="CL10" s="38">
        <v>0.2</v>
      </c>
      <c r="CM10" s="39">
        <f t="shared" si="40"/>
        <v>11250</v>
      </c>
      <c r="CN10" s="38">
        <v>0.15</v>
      </c>
      <c r="CO10" s="39">
        <f t="shared" si="41"/>
        <v>8437.5</v>
      </c>
      <c r="CP10" s="38">
        <v>0.2</v>
      </c>
      <c r="CQ10" s="39">
        <f t="shared" si="42"/>
        <v>11250</v>
      </c>
      <c r="CR10" s="38">
        <v>0.35</v>
      </c>
      <c r="CS10" s="39">
        <f t="shared" si="43"/>
        <v>19687.5</v>
      </c>
      <c r="CT10" s="38">
        <v>0.1</v>
      </c>
      <c r="CU10" s="39">
        <f t="shared" si="44"/>
        <v>5625</v>
      </c>
      <c r="CV10" s="40"/>
      <c r="CW10" s="36">
        <v>0.125</v>
      </c>
      <c r="CX10" s="37">
        <f t="shared" si="45"/>
        <v>56250</v>
      </c>
      <c r="CY10" s="38">
        <v>0.2</v>
      </c>
      <c r="CZ10" s="39">
        <f t="shared" si="46"/>
        <v>11250</v>
      </c>
      <c r="DA10" s="38">
        <v>0.15</v>
      </c>
      <c r="DB10" s="39">
        <f t="shared" si="47"/>
        <v>8437.5</v>
      </c>
      <c r="DC10" s="38">
        <v>0.2</v>
      </c>
      <c r="DD10" s="39">
        <f t="shared" si="48"/>
        <v>11250</v>
      </c>
      <c r="DE10" s="38">
        <v>0.35</v>
      </c>
      <c r="DF10" s="39">
        <f t="shared" si="49"/>
        <v>19687.5</v>
      </c>
      <c r="DG10" s="38">
        <v>0.1</v>
      </c>
      <c r="DH10" s="39">
        <f t="shared" si="50"/>
        <v>5625</v>
      </c>
      <c r="DI10" s="41">
        <f t="shared" si="1"/>
        <v>450000</v>
      </c>
      <c r="DJ10" s="41">
        <f t="shared" si="2"/>
        <v>450000</v>
      </c>
      <c r="DK10" s="41">
        <f t="shared" si="51"/>
        <v>450000</v>
      </c>
      <c r="DL10" s="16">
        <f t="shared" si="52"/>
        <v>0</v>
      </c>
    </row>
    <row r="11" spans="1:116" x14ac:dyDescent="0.25">
      <c r="B11" s="46" t="s">
        <v>26</v>
      </c>
      <c r="C11" s="42" t="s">
        <v>27</v>
      </c>
      <c r="D11" s="53">
        <v>150000</v>
      </c>
      <c r="E11" s="224">
        <f>H11*$K$81</f>
        <v>4.5918000000000001</v>
      </c>
      <c r="F11" s="34">
        <v>675000</v>
      </c>
      <c r="G11" s="40"/>
      <c r="H11" s="195">
        <v>4.5</v>
      </c>
      <c r="I11" s="40"/>
      <c r="J11" s="36"/>
      <c r="K11" s="37">
        <f t="shared" si="3"/>
        <v>0</v>
      </c>
      <c r="L11" s="38"/>
      <c r="M11" s="39">
        <f t="shared" si="4"/>
        <v>0</v>
      </c>
      <c r="N11" s="38"/>
      <c r="O11" s="39">
        <f t="shared" si="5"/>
        <v>0</v>
      </c>
      <c r="P11" s="38"/>
      <c r="Q11" s="39">
        <f t="shared" si="6"/>
        <v>0</v>
      </c>
      <c r="R11" s="38"/>
      <c r="S11" s="39">
        <f t="shared" si="7"/>
        <v>0</v>
      </c>
      <c r="T11" s="38"/>
      <c r="U11" s="39">
        <f t="shared" si="8"/>
        <v>0</v>
      </c>
      <c r="V11" s="40"/>
      <c r="W11" s="36">
        <v>1</v>
      </c>
      <c r="X11" s="37">
        <f t="shared" si="9"/>
        <v>675000</v>
      </c>
      <c r="Y11" s="38">
        <v>0.2</v>
      </c>
      <c r="Z11" s="39">
        <f t="shared" si="10"/>
        <v>135000</v>
      </c>
      <c r="AA11" s="38">
        <v>0.15</v>
      </c>
      <c r="AB11" s="39">
        <f t="shared" si="11"/>
        <v>101250</v>
      </c>
      <c r="AC11" s="38">
        <v>0.2</v>
      </c>
      <c r="AD11" s="39">
        <f t="shared" si="12"/>
        <v>135000</v>
      </c>
      <c r="AE11" s="38">
        <v>0.35</v>
      </c>
      <c r="AF11" s="39">
        <f t="shared" si="13"/>
        <v>236249.99999999997</v>
      </c>
      <c r="AG11" s="38">
        <v>0.1</v>
      </c>
      <c r="AH11" s="39">
        <f t="shared" si="14"/>
        <v>67500</v>
      </c>
      <c r="AI11" s="40"/>
      <c r="AJ11" s="36"/>
      <c r="AK11" s="37">
        <f t="shared" si="15"/>
        <v>0</v>
      </c>
      <c r="AL11" s="38"/>
      <c r="AM11" s="39">
        <f t="shared" si="16"/>
        <v>0</v>
      </c>
      <c r="AN11" s="38"/>
      <c r="AO11" s="39">
        <f t="shared" si="17"/>
        <v>0</v>
      </c>
      <c r="AP11" s="38"/>
      <c r="AQ11" s="39">
        <f t="shared" si="18"/>
        <v>0</v>
      </c>
      <c r="AR11" s="38"/>
      <c r="AS11" s="39">
        <f t="shared" si="19"/>
        <v>0</v>
      </c>
      <c r="AT11" s="38"/>
      <c r="AU11" s="39">
        <f t="shared" si="20"/>
        <v>0</v>
      </c>
      <c r="AV11" s="40"/>
      <c r="AW11" s="36"/>
      <c r="AX11" s="37">
        <f t="shared" si="21"/>
        <v>0</v>
      </c>
      <c r="AY11" s="38"/>
      <c r="AZ11" s="39">
        <f t="shared" si="22"/>
        <v>0</v>
      </c>
      <c r="BA11" s="38"/>
      <c r="BB11" s="39">
        <f t="shared" si="23"/>
        <v>0</v>
      </c>
      <c r="BC11" s="38"/>
      <c r="BD11" s="39">
        <f t="shared" si="24"/>
        <v>0</v>
      </c>
      <c r="BE11" s="38"/>
      <c r="BF11" s="39">
        <f t="shared" si="25"/>
        <v>0</v>
      </c>
      <c r="BG11" s="38"/>
      <c r="BH11" s="39">
        <f t="shared" si="26"/>
        <v>0</v>
      </c>
      <c r="BI11" s="40"/>
      <c r="BJ11" s="36"/>
      <c r="BK11" s="37">
        <f t="shared" si="27"/>
        <v>0</v>
      </c>
      <c r="BL11" s="38"/>
      <c r="BM11" s="39">
        <f t="shared" si="28"/>
        <v>0</v>
      </c>
      <c r="BN11" s="38"/>
      <c r="BO11" s="39">
        <f t="shared" si="29"/>
        <v>0</v>
      </c>
      <c r="BP11" s="38"/>
      <c r="BQ11" s="39">
        <f t="shared" si="30"/>
        <v>0</v>
      </c>
      <c r="BR11" s="38"/>
      <c r="BS11" s="39">
        <f t="shared" si="31"/>
        <v>0</v>
      </c>
      <c r="BT11" s="38"/>
      <c r="BU11" s="39">
        <f t="shared" si="32"/>
        <v>0</v>
      </c>
      <c r="BV11" s="40"/>
      <c r="BW11" s="36"/>
      <c r="BX11" s="37">
        <f t="shared" si="33"/>
        <v>0</v>
      </c>
      <c r="BY11" s="38"/>
      <c r="BZ11" s="39">
        <f t="shared" si="34"/>
        <v>0</v>
      </c>
      <c r="CA11" s="38"/>
      <c r="CB11" s="39">
        <f t="shared" si="35"/>
        <v>0</v>
      </c>
      <c r="CC11" s="38"/>
      <c r="CD11" s="39">
        <f t="shared" si="36"/>
        <v>0</v>
      </c>
      <c r="CE11" s="38"/>
      <c r="CF11" s="39">
        <f t="shared" si="37"/>
        <v>0</v>
      </c>
      <c r="CG11" s="38"/>
      <c r="CH11" s="39">
        <f t="shared" si="38"/>
        <v>0</v>
      </c>
      <c r="CI11" s="40"/>
      <c r="CJ11" s="36"/>
      <c r="CK11" s="37">
        <f t="shared" si="39"/>
        <v>0</v>
      </c>
      <c r="CL11" s="38"/>
      <c r="CM11" s="39">
        <f t="shared" si="40"/>
        <v>0</v>
      </c>
      <c r="CN11" s="38"/>
      <c r="CO11" s="39">
        <f t="shared" si="41"/>
        <v>0</v>
      </c>
      <c r="CP11" s="38"/>
      <c r="CQ11" s="39">
        <f t="shared" si="42"/>
        <v>0</v>
      </c>
      <c r="CR11" s="38"/>
      <c r="CS11" s="39">
        <f t="shared" si="43"/>
        <v>0</v>
      </c>
      <c r="CT11" s="38"/>
      <c r="CU11" s="39">
        <f t="shared" si="44"/>
        <v>0</v>
      </c>
      <c r="CV11" s="40"/>
      <c r="CW11" s="36"/>
      <c r="CX11" s="37">
        <f t="shared" si="45"/>
        <v>0</v>
      </c>
      <c r="CY11" s="38"/>
      <c r="CZ11" s="39">
        <f t="shared" si="46"/>
        <v>0</v>
      </c>
      <c r="DA11" s="38"/>
      <c r="DB11" s="39">
        <f t="shared" si="47"/>
        <v>0</v>
      </c>
      <c r="DC11" s="38"/>
      <c r="DD11" s="39">
        <f t="shared" si="48"/>
        <v>0</v>
      </c>
      <c r="DE11" s="38"/>
      <c r="DF11" s="39">
        <f t="shared" si="49"/>
        <v>0</v>
      </c>
      <c r="DG11" s="38"/>
      <c r="DH11" s="39">
        <f t="shared" si="50"/>
        <v>0</v>
      </c>
      <c r="DI11" s="41">
        <f t="shared" si="1"/>
        <v>675000</v>
      </c>
      <c r="DJ11" s="41">
        <f t="shared" si="2"/>
        <v>675000</v>
      </c>
      <c r="DK11" s="41">
        <f t="shared" si="51"/>
        <v>675000</v>
      </c>
      <c r="DL11" s="16">
        <f t="shared" si="52"/>
        <v>0</v>
      </c>
    </row>
    <row r="12" spans="1:116" x14ac:dyDescent="0.25">
      <c r="B12" s="46" t="s">
        <v>28</v>
      </c>
      <c r="C12" s="42" t="s">
        <v>21</v>
      </c>
      <c r="D12" s="53">
        <v>1</v>
      </c>
      <c r="E12" s="34">
        <v>250000</v>
      </c>
      <c r="F12" s="34">
        <v>250000</v>
      </c>
      <c r="G12" s="40"/>
      <c r="H12" s="195">
        <v>250000</v>
      </c>
      <c r="I12" s="40"/>
      <c r="J12" s="36">
        <v>0.125</v>
      </c>
      <c r="K12" s="37">
        <f t="shared" si="3"/>
        <v>31250</v>
      </c>
      <c r="L12" s="38">
        <v>0.2</v>
      </c>
      <c r="M12" s="39">
        <f t="shared" si="4"/>
        <v>6250</v>
      </c>
      <c r="N12" s="38">
        <v>0.15</v>
      </c>
      <c r="O12" s="39">
        <f t="shared" si="5"/>
        <v>4687.5</v>
      </c>
      <c r="P12" s="38">
        <v>0.2</v>
      </c>
      <c r="Q12" s="39">
        <f t="shared" si="6"/>
        <v>6250</v>
      </c>
      <c r="R12" s="38">
        <v>0.35</v>
      </c>
      <c r="S12" s="39">
        <f t="shared" si="7"/>
        <v>10937.5</v>
      </c>
      <c r="T12" s="38">
        <v>0.1</v>
      </c>
      <c r="U12" s="39">
        <f t="shared" si="8"/>
        <v>3125</v>
      </c>
      <c r="V12" s="40"/>
      <c r="W12" s="36">
        <v>0.125</v>
      </c>
      <c r="X12" s="37">
        <f t="shared" si="9"/>
        <v>31250</v>
      </c>
      <c r="Y12" s="38">
        <v>0.2</v>
      </c>
      <c r="Z12" s="39">
        <f t="shared" si="10"/>
        <v>6250</v>
      </c>
      <c r="AA12" s="38">
        <v>0.15</v>
      </c>
      <c r="AB12" s="39">
        <f t="shared" si="11"/>
        <v>4687.5</v>
      </c>
      <c r="AC12" s="38">
        <v>0.2</v>
      </c>
      <c r="AD12" s="39">
        <f t="shared" si="12"/>
        <v>6250</v>
      </c>
      <c r="AE12" s="38">
        <v>0.35</v>
      </c>
      <c r="AF12" s="39">
        <f t="shared" si="13"/>
        <v>10937.5</v>
      </c>
      <c r="AG12" s="38">
        <v>0.1</v>
      </c>
      <c r="AH12" s="39">
        <f t="shared" si="14"/>
        <v>3125</v>
      </c>
      <c r="AI12" s="40"/>
      <c r="AJ12" s="36">
        <v>0.125</v>
      </c>
      <c r="AK12" s="37">
        <f t="shared" si="15"/>
        <v>31250</v>
      </c>
      <c r="AL12" s="38">
        <v>0.2</v>
      </c>
      <c r="AM12" s="39">
        <f t="shared" si="16"/>
        <v>6250</v>
      </c>
      <c r="AN12" s="38">
        <v>0.15</v>
      </c>
      <c r="AO12" s="39">
        <f t="shared" si="17"/>
        <v>4687.5</v>
      </c>
      <c r="AP12" s="38">
        <v>0.2</v>
      </c>
      <c r="AQ12" s="39">
        <f t="shared" si="18"/>
        <v>6250</v>
      </c>
      <c r="AR12" s="38">
        <v>0.35</v>
      </c>
      <c r="AS12" s="39">
        <f t="shared" si="19"/>
        <v>10937.5</v>
      </c>
      <c r="AT12" s="38">
        <v>0.1</v>
      </c>
      <c r="AU12" s="39">
        <f t="shared" si="20"/>
        <v>3125</v>
      </c>
      <c r="AV12" s="40"/>
      <c r="AW12" s="36">
        <v>0.125</v>
      </c>
      <c r="AX12" s="37">
        <f t="shared" si="21"/>
        <v>31250</v>
      </c>
      <c r="AY12" s="38">
        <v>0.2</v>
      </c>
      <c r="AZ12" s="39">
        <f t="shared" si="22"/>
        <v>6250</v>
      </c>
      <c r="BA12" s="38">
        <v>0.15</v>
      </c>
      <c r="BB12" s="39">
        <f t="shared" si="23"/>
        <v>4687.5</v>
      </c>
      <c r="BC12" s="38">
        <v>0.2</v>
      </c>
      <c r="BD12" s="39">
        <f t="shared" si="24"/>
        <v>6250</v>
      </c>
      <c r="BE12" s="38">
        <v>0.35</v>
      </c>
      <c r="BF12" s="39">
        <f t="shared" si="25"/>
        <v>10937.5</v>
      </c>
      <c r="BG12" s="38">
        <v>0.1</v>
      </c>
      <c r="BH12" s="39">
        <f t="shared" si="26"/>
        <v>3125</v>
      </c>
      <c r="BI12" s="40"/>
      <c r="BJ12" s="36">
        <v>0.125</v>
      </c>
      <c r="BK12" s="37">
        <f t="shared" si="27"/>
        <v>31250</v>
      </c>
      <c r="BL12" s="38">
        <v>0.1</v>
      </c>
      <c r="BM12" s="39">
        <f t="shared" si="28"/>
        <v>3125</v>
      </c>
      <c r="BN12" s="38">
        <v>0.1</v>
      </c>
      <c r="BO12" s="39">
        <f t="shared" si="29"/>
        <v>3125</v>
      </c>
      <c r="BP12" s="38">
        <v>0.15</v>
      </c>
      <c r="BQ12" s="39">
        <f t="shared" si="30"/>
        <v>4687.5</v>
      </c>
      <c r="BR12" s="38">
        <v>0.15</v>
      </c>
      <c r="BS12" s="39">
        <f t="shared" si="31"/>
        <v>4687.5</v>
      </c>
      <c r="BT12" s="38">
        <v>0.5</v>
      </c>
      <c r="BU12" s="39">
        <f t="shared" si="32"/>
        <v>15625</v>
      </c>
      <c r="BV12" s="40"/>
      <c r="BW12" s="36">
        <v>0.125</v>
      </c>
      <c r="BX12" s="37">
        <f t="shared" si="33"/>
        <v>31250</v>
      </c>
      <c r="BY12" s="38">
        <v>0.2</v>
      </c>
      <c r="BZ12" s="39">
        <f t="shared" si="34"/>
        <v>6250</v>
      </c>
      <c r="CA12" s="38">
        <v>0.15</v>
      </c>
      <c r="CB12" s="39">
        <f t="shared" si="35"/>
        <v>4687.5</v>
      </c>
      <c r="CC12" s="38">
        <v>0.2</v>
      </c>
      <c r="CD12" s="39">
        <f t="shared" si="36"/>
        <v>6250</v>
      </c>
      <c r="CE12" s="38">
        <v>0.35</v>
      </c>
      <c r="CF12" s="39">
        <f t="shared" si="37"/>
        <v>10937.5</v>
      </c>
      <c r="CG12" s="38">
        <v>0.1</v>
      </c>
      <c r="CH12" s="39">
        <f t="shared" si="38"/>
        <v>3125</v>
      </c>
      <c r="CI12" s="40"/>
      <c r="CJ12" s="36">
        <v>0.125</v>
      </c>
      <c r="CK12" s="37">
        <f t="shared" si="39"/>
        <v>31250</v>
      </c>
      <c r="CL12" s="38">
        <v>0.2</v>
      </c>
      <c r="CM12" s="39">
        <f t="shared" si="40"/>
        <v>6250</v>
      </c>
      <c r="CN12" s="38">
        <v>0.15</v>
      </c>
      <c r="CO12" s="39">
        <f t="shared" si="41"/>
        <v>4687.5</v>
      </c>
      <c r="CP12" s="38">
        <v>0.2</v>
      </c>
      <c r="CQ12" s="39">
        <f t="shared" si="42"/>
        <v>6250</v>
      </c>
      <c r="CR12" s="38">
        <v>0.35</v>
      </c>
      <c r="CS12" s="39">
        <f t="shared" si="43"/>
        <v>10937.5</v>
      </c>
      <c r="CT12" s="38">
        <v>0.1</v>
      </c>
      <c r="CU12" s="39">
        <f t="shared" si="44"/>
        <v>3125</v>
      </c>
      <c r="CV12" s="40"/>
      <c r="CW12" s="36">
        <v>0.125</v>
      </c>
      <c r="CX12" s="37">
        <f t="shared" si="45"/>
        <v>31250</v>
      </c>
      <c r="CY12" s="38">
        <v>0.2</v>
      </c>
      <c r="CZ12" s="39">
        <f t="shared" si="46"/>
        <v>6250</v>
      </c>
      <c r="DA12" s="38">
        <v>0.15</v>
      </c>
      <c r="DB12" s="39">
        <f t="shared" si="47"/>
        <v>4687.5</v>
      </c>
      <c r="DC12" s="38">
        <v>0.2</v>
      </c>
      <c r="DD12" s="39">
        <f t="shared" si="48"/>
        <v>6250</v>
      </c>
      <c r="DE12" s="38">
        <v>0.35</v>
      </c>
      <c r="DF12" s="39">
        <f t="shared" si="49"/>
        <v>10937.5</v>
      </c>
      <c r="DG12" s="38">
        <v>0.1</v>
      </c>
      <c r="DH12" s="39">
        <f t="shared" si="50"/>
        <v>3125</v>
      </c>
      <c r="DI12" s="41">
        <f t="shared" si="1"/>
        <v>250000</v>
      </c>
      <c r="DJ12" s="41">
        <f t="shared" si="2"/>
        <v>250000</v>
      </c>
      <c r="DK12" s="41">
        <f t="shared" si="51"/>
        <v>250000</v>
      </c>
      <c r="DL12" s="16">
        <f t="shared" si="52"/>
        <v>0</v>
      </c>
    </row>
    <row r="13" spans="1:116" x14ac:dyDescent="0.25">
      <c r="B13" s="48" t="s">
        <v>29</v>
      </c>
      <c r="C13" s="42" t="s">
        <v>21</v>
      </c>
      <c r="D13" s="53">
        <v>1</v>
      </c>
      <c r="E13" s="34">
        <v>650000</v>
      </c>
      <c r="F13" s="34">
        <v>650000</v>
      </c>
      <c r="G13" s="40"/>
      <c r="H13" s="195">
        <v>650000</v>
      </c>
      <c r="I13" s="40"/>
      <c r="J13" s="36"/>
      <c r="K13" s="37">
        <f t="shared" si="3"/>
        <v>0</v>
      </c>
      <c r="L13" s="38"/>
      <c r="M13" s="39">
        <f t="shared" si="4"/>
        <v>0</v>
      </c>
      <c r="N13" s="38"/>
      <c r="O13" s="39">
        <f t="shared" si="5"/>
        <v>0</v>
      </c>
      <c r="P13" s="38"/>
      <c r="Q13" s="39">
        <f t="shared" si="6"/>
        <v>0</v>
      </c>
      <c r="R13" s="38"/>
      <c r="S13" s="39">
        <f t="shared" si="7"/>
        <v>0</v>
      </c>
      <c r="T13" s="38"/>
      <c r="U13" s="39">
        <f t="shared" si="8"/>
        <v>0</v>
      </c>
      <c r="V13" s="40"/>
      <c r="W13" s="36"/>
      <c r="X13" s="37">
        <f t="shared" si="9"/>
        <v>0</v>
      </c>
      <c r="Y13" s="38"/>
      <c r="Z13" s="39">
        <f t="shared" si="10"/>
        <v>0</v>
      </c>
      <c r="AA13" s="38"/>
      <c r="AB13" s="39">
        <f t="shared" si="11"/>
        <v>0</v>
      </c>
      <c r="AC13" s="38"/>
      <c r="AD13" s="39">
        <f t="shared" si="12"/>
        <v>0</v>
      </c>
      <c r="AE13" s="38"/>
      <c r="AF13" s="39">
        <f t="shared" si="13"/>
        <v>0</v>
      </c>
      <c r="AG13" s="38"/>
      <c r="AH13" s="39">
        <f t="shared" si="14"/>
        <v>0</v>
      </c>
      <c r="AI13" s="40"/>
      <c r="AJ13" s="36"/>
      <c r="AK13" s="37">
        <f t="shared" si="15"/>
        <v>0</v>
      </c>
      <c r="AL13" s="38"/>
      <c r="AM13" s="39">
        <f t="shared" si="16"/>
        <v>0</v>
      </c>
      <c r="AN13" s="38"/>
      <c r="AO13" s="39">
        <f t="shared" si="17"/>
        <v>0</v>
      </c>
      <c r="AP13" s="38"/>
      <c r="AQ13" s="39">
        <f t="shared" si="18"/>
        <v>0</v>
      </c>
      <c r="AR13" s="38"/>
      <c r="AS13" s="39">
        <f t="shared" si="19"/>
        <v>0</v>
      </c>
      <c r="AT13" s="38"/>
      <c r="AU13" s="39">
        <f t="shared" si="20"/>
        <v>0</v>
      </c>
      <c r="AV13" s="40"/>
      <c r="AW13" s="36">
        <v>0.05</v>
      </c>
      <c r="AX13" s="37">
        <f t="shared" si="21"/>
        <v>32500</v>
      </c>
      <c r="AY13" s="38">
        <v>0.2</v>
      </c>
      <c r="AZ13" s="39">
        <f t="shared" si="22"/>
        <v>6500</v>
      </c>
      <c r="BA13" s="38">
        <v>0.15</v>
      </c>
      <c r="BB13" s="39">
        <f t="shared" si="23"/>
        <v>4875</v>
      </c>
      <c r="BC13" s="38">
        <v>0.25</v>
      </c>
      <c r="BD13" s="39">
        <f t="shared" si="24"/>
        <v>8125</v>
      </c>
      <c r="BE13" s="38">
        <v>0.4</v>
      </c>
      <c r="BF13" s="39">
        <f t="shared" si="25"/>
        <v>13000</v>
      </c>
      <c r="BG13" s="38"/>
      <c r="BH13" s="39">
        <f t="shared" si="26"/>
        <v>0</v>
      </c>
      <c r="BI13" s="40"/>
      <c r="BJ13" s="36">
        <v>0.95</v>
      </c>
      <c r="BK13" s="37">
        <f t="shared" si="27"/>
        <v>617500</v>
      </c>
      <c r="BL13" s="38">
        <v>0.2</v>
      </c>
      <c r="BM13" s="39">
        <f t="shared" si="28"/>
        <v>123500</v>
      </c>
      <c r="BN13" s="38">
        <v>0.15</v>
      </c>
      <c r="BO13" s="39">
        <f t="shared" si="29"/>
        <v>92625</v>
      </c>
      <c r="BP13" s="38">
        <v>0.25</v>
      </c>
      <c r="BQ13" s="39">
        <f t="shared" si="30"/>
        <v>154375</v>
      </c>
      <c r="BR13" s="38">
        <v>0.4</v>
      </c>
      <c r="BS13" s="39">
        <f t="shared" si="31"/>
        <v>247000</v>
      </c>
      <c r="BT13" s="38"/>
      <c r="BU13" s="39">
        <f t="shared" si="32"/>
        <v>0</v>
      </c>
      <c r="BV13" s="40"/>
      <c r="BW13" s="36"/>
      <c r="BX13" s="37">
        <f t="shared" si="33"/>
        <v>0</v>
      </c>
      <c r="BY13" s="38"/>
      <c r="BZ13" s="39">
        <f t="shared" si="34"/>
        <v>0</v>
      </c>
      <c r="CA13" s="38"/>
      <c r="CB13" s="39">
        <f t="shared" si="35"/>
        <v>0</v>
      </c>
      <c r="CC13" s="38"/>
      <c r="CD13" s="39">
        <f t="shared" si="36"/>
        <v>0</v>
      </c>
      <c r="CE13" s="38"/>
      <c r="CF13" s="39">
        <f t="shared" si="37"/>
        <v>0</v>
      </c>
      <c r="CG13" s="38"/>
      <c r="CH13" s="39">
        <f t="shared" si="38"/>
        <v>0</v>
      </c>
      <c r="CI13" s="40"/>
      <c r="CJ13" s="36"/>
      <c r="CK13" s="37">
        <f t="shared" si="39"/>
        <v>0</v>
      </c>
      <c r="CL13" s="38"/>
      <c r="CM13" s="39">
        <f t="shared" si="40"/>
        <v>0</v>
      </c>
      <c r="CN13" s="38"/>
      <c r="CO13" s="39">
        <f t="shared" si="41"/>
        <v>0</v>
      </c>
      <c r="CP13" s="38"/>
      <c r="CQ13" s="39">
        <f t="shared" si="42"/>
        <v>0</v>
      </c>
      <c r="CR13" s="38"/>
      <c r="CS13" s="39">
        <f t="shared" si="43"/>
        <v>0</v>
      </c>
      <c r="CT13" s="38"/>
      <c r="CU13" s="39">
        <f t="shared" si="44"/>
        <v>0</v>
      </c>
      <c r="CV13" s="40"/>
      <c r="CW13" s="36"/>
      <c r="CX13" s="37">
        <f t="shared" si="45"/>
        <v>0</v>
      </c>
      <c r="CY13" s="38"/>
      <c r="CZ13" s="39">
        <f t="shared" si="46"/>
        <v>0</v>
      </c>
      <c r="DA13" s="38"/>
      <c r="DB13" s="39">
        <f t="shared" si="47"/>
        <v>0</v>
      </c>
      <c r="DC13" s="38"/>
      <c r="DD13" s="39">
        <f t="shared" si="48"/>
        <v>0</v>
      </c>
      <c r="DE13" s="38"/>
      <c r="DF13" s="39">
        <f t="shared" si="49"/>
        <v>0</v>
      </c>
      <c r="DG13" s="38"/>
      <c r="DH13" s="39">
        <f t="shared" si="50"/>
        <v>0</v>
      </c>
      <c r="DI13" s="41">
        <f t="shared" si="1"/>
        <v>650000</v>
      </c>
      <c r="DJ13" s="41">
        <f t="shared" si="2"/>
        <v>650000</v>
      </c>
      <c r="DK13" s="41">
        <f t="shared" si="51"/>
        <v>650000</v>
      </c>
      <c r="DL13" s="16">
        <f t="shared" si="52"/>
        <v>0</v>
      </c>
    </row>
    <row r="14" spans="1:116" x14ac:dyDescent="0.25">
      <c r="B14" s="46" t="s">
        <v>30</v>
      </c>
      <c r="C14" s="42" t="s">
        <v>21</v>
      </c>
      <c r="D14" s="53">
        <v>1</v>
      </c>
      <c r="E14" s="34">
        <v>200000</v>
      </c>
      <c r="F14" s="34">
        <v>200000</v>
      </c>
      <c r="G14" s="40"/>
      <c r="H14" s="195">
        <v>200000</v>
      </c>
      <c r="I14" s="40"/>
      <c r="J14" s="36"/>
      <c r="K14" s="37">
        <f t="shared" si="3"/>
        <v>0</v>
      </c>
      <c r="L14" s="38"/>
      <c r="M14" s="39">
        <f t="shared" si="4"/>
        <v>0</v>
      </c>
      <c r="N14" s="38"/>
      <c r="O14" s="39">
        <f t="shared" si="5"/>
        <v>0</v>
      </c>
      <c r="P14" s="38"/>
      <c r="Q14" s="39">
        <f t="shared" si="6"/>
        <v>0</v>
      </c>
      <c r="R14" s="38"/>
      <c r="S14" s="39">
        <f t="shared" si="7"/>
        <v>0</v>
      </c>
      <c r="T14" s="38"/>
      <c r="U14" s="39">
        <f t="shared" si="8"/>
        <v>0</v>
      </c>
      <c r="V14" s="40"/>
      <c r="W14" s="36"/>
      <c r="X14" s="37">
        <f t="shared" si="9"/>
        <v>0</v>
      </c>
      <c r="Y14" s="38"/>
      <c r="Z14" s="39">
        <f t="shared" si="10"/>
        <v>0</v>
      </c>
      <c r="AA14" s="38"/>
      <c r="AB14" s="39">
        <f t="shared" si="11"/>
        <v>0</v>
      </c>
      <c r="AC14" s="38"/>
      <c r="AD14" s="39">
        <f t="shared" si="12"/>
        <v>0</v>
      </c>
      <c r="AE14" s="38"/>
      <c r="AF14" s="39">
        <f t="shared" si="13"/>
        <v>0</v>
      </c>
      <c r="AG14" s="38"/>
      <c r="AH14" s="39">
        <f t="shared" si="14"/>
        <v>0</v>
      </c>
      <c r="AI14" s="40"/>
      <c r="AJ14" s="36"/>
      <c r="AK14" s="37">
        <f t="shared" si="15"/>
        <v>0</v>
      </c>
      <c r="AL14" s="38"/>
      <c r="AM14" s="39">
        <f t="shared" si="16"/>
        <v>0</v>
      </c>
      <c r="AN14" s="38"/>
      <c r="AO14" s="39">
        <f t="shared" si="17"/>
        <v>0</v>
      </c>
      <c r="AP14" s="38"/>
      <c r="AQ14" s="39">
        <f t="shared" si="18"/>
        <v>0</v>
      </c>
      <c r="AR14" s="38"/>
      <c r="AS14" s="39">
        <f t="shared" si="19"/>
        <v>0</v>
      </c>
      <c r="AT14" s="38"/>
      <c r="AU14" s="39">
        <f t="shared" si="20"/>
        <v>0</v>
      </c>
      <c r="AV14" s="40"/>
      <c r="AW14" s="36"/>
      <c r="AX14" s="37">
        <f t="shared" si="21"/>
        <v>0</v>
      </c>
      <c r="AY14" s="38"/>
      <c r="AZ14" s="39">
        <f t="shared" si="22"/>
        <v>0</v>
      </c>
      <c r="BA14" s="38"/>
      <c r="BB14" s="39">
        <f t="shared" si="23"/>
        <v>0</v>
      </c>
      <c r="BC14" s="38"/>
      <c r="BD14" s="39">
        <f t="shared" si="24"/>
        <v>0</v>
      </c>
      <c r="BE14" s="38"/>
      <c r="BF14" s="39">
        <f t="shared" si="25"/>
        <v>0</v>
      </c>
      <c r="BG14" s="38"/>
      <c r="BH14" s="39">
        <f t="shared" si="26"/>
        <v>0</v>
      </c>
      <c r="BI14" s="40"/>
      <c r="BJ14" s="36"/>
      <c r="BK14" s="37">
        <f t="shared" si="27"/>
        <v>0</v>
      </c>
      <c r="BL14" s="38"/>
      <c r="BM14" s="39">
        <f t="shared" si="28"/>
        <v>0</v>
      </c>
      <c r="BN14" s="38"/>
      <c r="BO14" s="39">
        <f t="shared" si="29"/>
        <v>0</v>
      </c>
      <c r="BP14" s="38"/>
      <c r="BQ14" s="39">
        <f t="shared" si="30"/>
        <v>0</v>
      </c>
      <c r="BR14" s="38"/>
      <c r="BS14" s="39">
        <f t="shared" si="31"/>
        <v>0</v>
      </c>
      <c r="BT14" s="38"/>
      <c r="BU14" s="39">
        <f t="shared" si="32"/>
        <v>0</v>
      </c>
      <c r="BV14" s="40"/>
      <c r="BW14" s="36">
        <v>1</v>
      </c>
      <c r="BX14" s="37">
        <f t="shared" si="33"/>
        <v>200000</v>
      </c>
      <c r="BY14" s="38">
        <v>0.2</v>
      </c>
      <c r="BZ14" s="39">
        <f t="shared" si="34"/>
        <v>40000</v>
      </c>
      <c r="CA14" s="38">
        <v>0.15</v>
      </c>
      <c r="CB14" s="39">
        <f t="shared" si="35"/>
        <v>30000</v>
      </c>
      <c r="CC14" s="38">
        <v>0.25</v>
      </c>
      <c r="CD14" s="39">
        <f t="shared" si="36"/>
        <v>50000</v>
      </c>
      <c r="CE14" s="38">
        <v>0.4</v>
      </c>
      <c r="CF14" s="39">
        <f t="shared" si="37"/>
        <v>80000</v>
      </c>
      <c r="CG14" s="38"/>
      <c r="CH14" s="39">
        <f t="shared" si="38"/>
        <v>0</v>
      </c>
      <c r="CI14" s="40"/>
      <c r="CJ14" s="36"/>
      <c r="CK14" s="37">
        <f t="shared" si="39"/>
        <v>0</v>
      </c>
      <c r="CL14" s="38"/>
      <c r="CM14" s="39">
        <f t="shared" si="40"/>
        <v>0</v>
      </c>
      <c r="CN14" s="38"/>
      <c r="CO14" s="39">
        <f t="shared" si="41"/>
        <v>0</v>
      </c>
      <c r="CP14" s="38"/>
      <c r="CQ14" s="39">
        <f t="shared" si="42"/>
        <v>0</v>
      </c>
      <c r="CR14" s="38"/>
      <c r="CS14" s="39">
        <f t="shared" si="43"/>
        <v>0</v>
      </c>
      <c r="CT14" s="38"/>
      <c r="CU14" s="39">
        <f t="shared" si="44"/>
        <v>0</v>
      </c>
      <c r="CV14" s="40"/>
      <c r="CW14" s="36"/>
      <c r="CX14" s="37">
        <f t="shared" si="45"/>
        <v>0</v>
      </c>
      <c r="CY14" s="38"/>
      <c r="CZ14" s="39">
        <f t="shared" si="46"/>
        <v>0</v>
      </c>
      <c r="DA14" s="38"/>
      <c r="DB14" s="39">
        <f t="shared" si="47"/>
        <v>0</v>
      </c>
      <c r="DC14" s="38"/>
      <c r="DD14" s="39">
        <f t="shared" si="48"/>
        <v>0</v>
      </c>
      <c r="DE14" s="38"/>
      <c r="DF14" s="39">
        <f t="shared" si="49"/>
        <v>0</v>
      </c>
      <c r="DG14" s="38"/>
      <c r="DH14" s="39">
        <f t="shared" si="50"/>
        <v>0</v>
      </c>
      <c r="DI14" s="41">
        <f t="shared" si="1"/>
        <v>200000</v>
      </c>
      <c r="DJ14" s="41">
        <f t="shared" si="2"/>
        <v>200000</v>
      </c>
      <c r="DK14" s="41">
        <f t="shared" si="51"/>
        <v>200000</v>
      </c>
      <c r="DL14" s="16">
        <f t="shared" si="52"/>
        <v>0</v>
      </c>
    </row>
    <row r="15" spans="1:116" x14ac:dyDescent="0.25">
      <c r="A15" s="2"/>
      <c r="B15" s="2" t="s">
        <v>31</v>
      </c>
      <c r="C15" s="42" t="s">
        <v>27</v>
      </c>
      <c r="D15" s="53">
        <v>500000</v>
      </c>
      <c r="E15" s="224">
        <f>H15*$K$81</f>
        <v>0.35713999999999996</v>
      </c>
      <c r="F15" s="34">
        <v>175000</v>
      </c>
      <c r="G15" s="40"/>
      <c r="H15" s="195">
        <v>0.35</v>
      </c>
      <c r="I15" s="40"/>
      <c r="J15" s="36"/>
      <c r="K15" s="37">
        <f t="shared" si="3"/>
        <v>0</v>
      </c>
      <c r="L15" s="38"/>
      <c r="M15" s="39">
        <f t="shared" si="4"/>
        <v>0</v>
      </c>
      <c r="N15" s="38"/>
      <c r="O15" s="39">
        <f t="shared" si="5"/>
        <v>0</v>
      </c>
      <c r="P15" s="38"/>
      <c r="Q15" s="39">
        <f t="shared" si="6"/>
        <v>0</v>
      </c>
      <c r="R15" s="38"/>
      <c r="S15" s="39">
        <f t="shared" si="7"/>
        <v>0</v>
      </c>
      <c r="T15" s="38"/>
      <c r="U15" s="39">
        <f t="shared" si="8"/>
        <v>0</v>
      </c>
      <c r="V15" s="40"/>
      <c r="W15" s="36">
        <v>1</v>
      </c>
      <c r="X15" s="37">
        <f t="shared" si="9"/>
        <v>175000</v>
      </c>
      <c r="Y15" s="38">
        <v>0.2</v>
      </c>
      <c r="Z15" s="39">
        <f t="shared" si="10"/>
        <v>35000</v>
      </c>
      <c r="AA15" s="38">
        <v>0.15</v>
      </c>
      <c r="AB15" s="39">
        <f t="shared" si="11"/>
        <v>26250</v>
      </c>
      <c r="AC15" s="38">
        <v>0.25</v>
      </c>
      <c r="AD15" s="39">
        <f t="shared" si="12"/>
        <v>43750</v>
      </c>
      <c r="AE15" s="38">
        <v>0.4</v>
      </c>
      <c r="AF15" s="39">
        <f t="shared" si="13"/>
        <v>70000</v>
      </c>
      <c r="AG15" s="38"/>
      <c r="AH15" s="39">
        <f t="shared" si="14"/>
        <v>0</v>
      </c>
      <c r="AI15" s="40"/>
      <c r="AJ15" s="36"/>
      <c r="AK15" s="37">
        <f t="shared" si="15"/>
        <v>0</v>
      </c>
      <c r="AL15" s="38"/>
      <c r="AM15" s="39">
        <f t="shared" si="16"/>
        <v>0</v>
      </c>
      <c r="AN15" s="38"/>
      <c r="AO15" s="39">
        <f t="shared" si="17"/>
        <v>0</v>
      </c>
      <c r="AP15" s="38"/>
      <c r="AQ15" s="39">
        <f t="shared" si="18"/>
        <v>0</v>
      </c>
      <c r="AR15" s="38"/>
      <c r="AS15" s="39">
        <f t="shared" si="19"/>
        <v>0</v>
      </c>
      <c r="AT15" s="38"/>
      <c r="AU15" s="39">
        <f t="shared" si="20"/>
        <v>0</v>
      </c>
      <c r="AV15" s="40"/>
      <c r="AW15" s="36"/>
      <c r="AX15" s="37">
        <f t="shared" si="21"/>
        <v>0</v>
      </c>
      <c r="AY15" s="38"/>
      <c r="AZ15" s="39">
        <f t="shared" si="22"/>
        <v>0</v>
      </c>
      <c r="BA15" s="38"/>
      <c r="BB15" s="39">
        <f t="shared" si="23"/>
        <v>0</v>
      </c>
      <c r="BC15" s="38"/>
      <c r="BD15" s="39">
        <f t="shared" si="24"/>
        <v>0</v>
      </c>
      <c r="BE15" s="38"/>
      <c r="BF15" s="39">
        <f t="shared" si="25"/>
        <v>0</v>
      </c>
      <c r="BG15" s="38"/>
      <c r="BH15" s="39">
        <f t="shared" si="26"/>
        <v>0</v>
      </c>
      <c r="BI15" s="40"/>
      <c r="BJ15" s="36"/>
      <c r="BK15" s="37">
        <f t="shared" si="27"/>
        <v>0</v>
      </c>
      <c r="BL15" s="38"/>
      <c r="BM15" s="39">
        <f t="shared" si="28"/>
        <v>0</v>
      </c>
      <c r="BN15" s="38"/>
      <c r="BO15" s="39">
        <f t="shared" si="29"/>
        <v>0</v>
      </c>
      <c r="BP15" s="38"/>
      <c r="BQ15" s="39">
        <f t="shared" si="30"/>
        <v>0</v>
      </c>
      <c r="BR15" s="38"/>
      <c r="BS15" s="39">
        <f t="shared" si="31"/>
        <v>0</v>
      </c>
      <c r="BT15" s="38"/>
      <c r="BU15" s="39">
        <f t="shared" si="32"/>
        <v>0</v>
      </c>
      <c r="BV15" s="40"/>
      <c r="BW15" s="36"/>
      <c r="BX15" s="37">
        <f t="shared" si="33"/>
        <v>0</v>
      </c>
      <c r="BY15" s="38"/>
      <c r="BZ15" s="39">
        <f t="shared" si="34"/>
        <v>0</v>
      </c>
      <c r="CA15" s="38"/>
      <c r="CB15" s="39">
        <f t="shared" si="35"/>
        <v>0</v>
      </c>
      <c r="CC15" s="38"/>
      <c r="CD15" s="39">
        <f t="shared" si="36"/>
        <v>0</v>
      </c>
      <c r="CE15" s="38"/>
      <c r="CF15" s="39">
        <f t="shared" si="37"/>
        <v>0</v>
      </c>
      <c r="CG15" s="38"/>
      <c r="CH15" s="39">
        <f t="shared" si="38"/>
        <v>0</v>
      </c>
      <c r="CI15" s="40"/>
      <c r="CJ15" s="36"/>
      <c r="CK15" s="37">
        <f t="shared" si="39"/>
        <v>0</v>
      </c>
      <c r="CL15" s="38"/>
      <c r="CM15" s="39">
        <f t="shared" si="40"/>
        <v>0</v>
      </c>
      <c r="CN15" s="38"/>
      <c r="CO15" s="39">
        <f t="shared" si="41"/>
        <v>0</v>
      </c>
      <c r="CP15" s="38"/>
      <c r="CQ15" s="39">
        <f t="shared" si="42"/>
        <v>0</v>
      </c>
      <c r="CR15" s="38"/>
      <c r="CS15" s="39">
        <f t="shared" si="43"/>
        <v>0</v>
      </c>
      <c r="CT15" s="38"/>
      <c r="CU15" s="39">
        <f t="shared" si="44"/>
        <v>0</v>
      </c>
      <c r="CV15" s="40"/>
      <c r="CW15" s="36"/>
      <c r="CX15" s="37">
        <f t="shared" si="45"/>
        <v>0</v>
      </c>
      <c r="CY15" s="38"/>
      <c r="CZ15" s="39">
        <f t="shared" si="46"/>
        <v>0</v>
      </c>
      <c r="DA15" s="38"/>
      <c r="DB15" s="39">
        <f t="shared" si="47"/>
        <v>0</v>
      </c>
      <c r="DC15" s="38"/>
      <c r="DD15" s="39">
        <f t="shared" si="48"/>
        <v>0</v>
      </c>
      <c r="DE15" s="38"/>
      <c r="DF15" s="39">
        <f t="shared" si="49"/>
        <v>0</v>
      </c>
      <c r="DG15" s="38"/>
      <c r="DH15" s="39">
        <f t="shared" si="50"/>
        <v>0</v>
      </c>
      <c r="DI15" s="41">
        <f t="shared" si="1"/>
        <v>175000</v>
      </c>
      <c r="DJ15" s="41">
        <f t="shared" si="2"/>
        <v>175000</v>
      </c>
      <c r="DK15" s="41">
        <f t="shared" si="51"/>
        <v>175000</v>
      </c>
      <c r="DL15" s="16">
        <f t="shared" si="52"/>
        <v>0</v>
      </c>
    </row>
    <row r="16" spans="1:116" x14ac:dyDescent="0.25">
      <c r="B16" s="44"/>
      <c r="C16" s="42"/>
      <c r="D16" s="43"/>
      <c r="E16" s="50"/>
      <c r="F16" s="34">
        <f t="shared" si="0"/>
        <v>0</v>
      </c>
      <c r="G16" s="40"/>
      <c r="H16" s="195">
        <v>0</v>
      </c>
      <c r="I16" s="40"/>
      <c r="J16" s="36"/>
      <c r="K16" s="37">
        <f t="shared" si="3"/>
        <v>0</v>
      </c>
      <c r="L16" s="38"/>
      <c r="M16" s="39">
        <f t="shared" si="4"/>
        <v>0</v>
      </c>
      <c r="N16" s="38"/>
      <c r="O16" s="39">
        <f t="shared" si="5"/>
        <v>0</v>
      </c>
      <c r="P16" s="38"/>
      <c r="Q16" s="39">
        <f t="shared" si="6"/>
        <v>0</v>
      </c>
      <c r="R16" s="38"/>
      <c r="S16" s="39">
        <f t="shared" si="7"/>
        <v>0</v>
      </c>
      <c r="T16" s="38"/>
      <c r="U16" s="39">
        <f t="shared" si="8"/>
        <v>0</v>
      </c>
      <c r="V16" s="40"/>
      <c r="W16" s="36"/>
      <c r="X16" s="37">
        <f t="shared" si="9"/>
        <v>0</v>
      </c>
      <c r="Y16" s="38"/>
      <c r="Z16" s="39">
        <f t="shared" si="10"/>
        <v>0</v>
      </c>
      <c r="AA16" s="38"/>
      <c r="AB16" s="39">
        <f t="shared" si="11"/>
        <v>0</v>
      </c>
      <c r="AC16" s="38"/>
      <c r="AD16" s="39">
        <f t="shared" si="12"/>
        <v>0</v>
      </c>
      <c r="AE16" s="38"/>
      <c r="AF16" s="39">
        <f t="shared" si="13"/>
        <v>0</v>
      </c>
      <c r="AG16" s="38"/>
      <c r="AH16" s="39">
        <f t="shared" si="14"/>
        <v>0</v>
      </c>
      <c r="AI16" s="40"/>
      <c r="AJ16" s="36"/>
      <c r="AK16" s="37">
        <f t="shared" si="15"/>
        <v>0</v>
      </c>
      <c r="AL16" s="38"/>
      <c r="AM16" s="39">
        <f t="shared" si="16"/>
        <v>0</v>
      </c>
      <c r="AN16" s="38"/>
      <c r="AO16" s="39">
        <f t="shared" si="17"/>
        <v>0</v>
      </c>
      <c r="AP16" s="38"/>
      <c r="AQ16" s="39">
        <f t="shared" si="18"/>
        <v>0</v>
      </c>
      <c r="AR16" s="38"/>
      <c r="AS16" s="39">
        <f t="shared" si="19"/>
        <v>0</v>
      </c>
      <c r="AT16" s="38"/>
      <c r="AU16" s="39">
        <f t="shared" si="20"/>
        <v>0</v>
      </c>
      <c r="AV16" s="40"/>
      <c r="AW16" s="36"/>
      <c r="AX16" s="37">
        <f t="shared" si="21"/>
        <v>0</v>
      </c>
      <c r="AY16" s="38"/>
      <c r="AZ16" s="39">
        <f t="shared" si="22"/>
        <v>0</v>
      </c>
      <c r="BA16" s="38"/>
      <c r="BB16" s="39">
        <f t="shared" si="23"/>
        <v>0</v>
      </c>
      <c r="BC16" s="38"/>
      <c r="BD16" s="39">
        <f t="shared" si="24"/>
        <v>0</v>
      </c>
      <c r="BE16" s="38"/>
      <c r="BF16" s="39">
        <f t="shared" si="25"/>
        <v>0</v>
      </c>
      <c r="BG16" s="38"/>
      <c r="BH16" s="39">
        <f t="shared" si="26"/>
        <v>0</v>
      </c>
      <c r="BI16" s="40"/>
      <c r="BJ16" s="36"/>
      <c r="BK16" s="37">
        <f t="shared" si="27"/>
        <v>0</v>
      </c>
      <c r="BL16" s="38"/>
      <c r="BM16" s="39">
        <f t="shared" si="28"/>
        <v>0</v>
      </c>
      <c r="BN16" s="38"/>
      <c r="BO16" s="39">
        <f t="shared" si="29"/>
        <v>0</v>
      </c>
      <c r="BP16" s="38"/>
      <c r="BQ16" s="39">
        <f t="shared" si="30"/>
        <v>0</v>
      </c>
      <c r="BR16" s="38"/>
      <c r="BS16" s="39">
        <f t="shared" si="31"/>
        <v>0</v>
      </c>
      <c r="BT16" s="38"/>
      <c r="BU16" s="39">
        <f t="shared" si="32"/>
        <v>0</v>
      </c>
      <c r="BV16" s="40"/>
      <c r="BW16" s="36"/>
      <c r="BX16" s="37">
        <f t="shared" si="33"/>
        <v>0</v>
      </c>
      <c r="BY16" s="38"/>
      <c r="BZ16" s="39">
        <f t="shared" si="34"/>
        <v>0</v>
      </c>
      <c r="CA16" s="38"/>
      <c r="CB16" s="39">
        <f t="shared" si="35"/>
        <v>0</v>
      </c>
      <c r="CC16" s="38"/>
      <c r="CD16" s="39">
        <f t="shared" si="36"/>
        <v>0</v>
      </c>
      <c r="CE16" s="38"/>
      <c r="CF16" s="39">
        <f t="shared" si="37"/>
        <v>0</v>
      </c>
      <c r="CG16" s="38"/>
      <c r="CH16" s="39">
        <f t="shared" si="38"/>
        <v>0</v>
      </c>
      <c r="CI16" s="40"/>
      <c r="CJ16" s="36"/>
      <c r="CK16" s="37">
        <f t="shared" si="39"/>
        <v>0</v>
      </c>
      <c r="CL16" s="38"/>
      <c r="CM16" s="39">
        <f t="shared" si="40"/>
        <v>0</v>
      </c>
      <c r="CN16" s="38"/>
      <c r="CO16" s="39">
        <f t="shared" si="41"/>
        <v>0</v>
      </c>
      <c r="CP16" s="38"/>
      <c r="CQ16" s="39">
        <f t="shared" si="42"/>
        <v>0</v>
      </c>
      <c r="CR16" s="38"/>
      <c r="CS16" s="39">
        <f t="shared" si="43"/>
        <v>0</v>
      </c>
      <c r="CT16" s="38"/>
      <c r="CU16" s="39">
        <f t="shared" si="44"/>
        <v>0</v>
      </c>
      <c r="CV16" s="40"/>
      <c r="CW16" s="36"/>
      <c r="CX16" s="37">
        <f t="shared" si="45"/>
        <v>0</v>
      </c>
      <c r="CY16" s="38"/>
      <c r="CZ16" s="39">
        <f t="shared" si="46"/>
        <v>0</v>
      </c>
      <c r="DA16" s="38"/>
      <c r="DB16" s="39">
        <f t="shared" si="47"/>
        <v>0</v>
      </c>
      <c r="DC16" s="38"/>
      <c r="DD16" s="39">
        <f t="shared" si="48"/>
        <v>0</v>
      </c>
      <c r="DE16" s="38"/>
      <c r="DF16" s="39">
        <f t="shared" si="49"/>
        <v>0</v>
      </c>
      <c r="DG16" s="38"/>
      <c r="DH16" s="39">
        <f t="shared" si="50"/>
        <v>0</v>
      </c>
      <c r="DI16" s="41">
        <f t="shared" si="1"/>
        <v>0</v>
      </c>
      <c r="DJ16" s="41">
        <f t="shared" si="2"/>
        <v>0</v>
      </c>
      <c r="DK16" s="41">
        <f t="shared" si="51"/>
        <v>0</v>
      </c>
      <c r="DL16" s="16">
        <f t="shared" si="52"/>
        <v>0</v>
      </c>
    </row>
    <row r="17" spans="1:116" x14ac:dyDescent="0.25">
      <c r="A17" s="1" t="s">
        <v>179</v>
      </c>
      <c r="C17" s="42"/>
      <c r="D17" s="53"/>
      <c r="E17" s="34"/>
      <c r="F17" s="34">
        <v>0</v>
      </c>
      <c r="G17" s="40"/>
      <c r="H17" s="195">
        <v>0</v>
      </c>
      <c r="I17" s="40"/>
      <c r="J17" s="36"/>
      <c r="K17" s="37">
        <f t="shared" si="3"/>
        <v>0</v>
      </c>
      <c r="L17" s="38"/>
      <c r="M17" s="39">
        <f t="shared" si="4"/>
        <v>0</v>
      </c>
      <c r="N17" s="38"/>
      <c r="O17" s="39">
        <f t="shared" si="5"/>
        <v>0</v>
      </c>
      <c r="P17" s="38"/>
      <c r="Q17" s="39">
        <f t="shared" si="6"/>
        <v>0</v>
      </c>
      <c r="R17" s="38"/>
      <c r="S17" s="39">
        <f t="shared" si="7"/>
        <v>0</v>
      </c>
      <c r="T17" s="38"/>
      <c r="U17" s="39">
        <f t="shared" si="8"/>
        <v>0</v>
      </c>
      <c r="V17" s="40"/>
      <c r="W17" s="36"/>
      <c r="X17" s="37">
        <f t="shared" si="9"/>
        <v>0</v>
      </c>
      <c r="Y17" s="38"/>
      <c r="Z17" s="39">
        <f t="shared" si="10"/>
        <v>0</v>
      </c>
      <c r="AA17" s="38"/>
      <c r="AB17" s="39">
        <f t="shared" si="11"/>
        <v>0</v>
      </c>
      <c r="AC17" s="38"/>
      <c r="AD17" s="39">
        <f t="shared" si="12"/>
        <v>0</v>
      </c>
      <c r="AE17" s="38"/>
      <c r="AF17" s="39">
        <f t="shared" si="13"/>
        <v>0</v>
      </c>
      <c r="AG17" s="38"/>
      <c r="AH17" s="39">
        <f t="shared" si="14"/>
        <v>0</v>
      </c>
      <c r="AI17" s="40"/>
      <c r="AJ17" s="36"/>
      <c r="AK17" s="37">
        <f t="shared" si="15"/>
        <v>0</v>
      </c>
      <c r="AL17" s="38"/>
      <c r="AM17" s="39">
        <f t="shared" si="16"/>
        <v>0</v>
      </c>
      <c r="AN17" s="38"/>
      <c r="AO17" s="39">
        <f t="shared" si="17"/>
        <v>0</v>
      </c>
      <c r="AP17" s="38"/>
      <c r="AQ17" s="39">
        <f t="shared" si="18"/>
        <v>0</v>
      </c>
      <c r="AR17" s="38"/>
      <c r="AS17" s="39">
        <f t="shared" si="19"/>
        <v>0</v>
      </c>
      <c r="AT17" s="38"/>
      <c r="AU17" s="39">
        <f t="shared" si="20"/>
        <v>0</v>
      </c>
      <c r="AV17" s="40"/>
      <c r="AW17" s="36"/>
      <c r="AX17" s="37">
        <f t="shared" si="21"/>
        <v>0</v>
      </c>
      <c r="AY17" s="38"/>
      <c r="AZ17" s="39">
        <f t="shared" si="22"/>
        <v>0</v>
      </c>
      <c r="BA17" s="38"/>
      <c r="BB17" s="39">
        <f t="shared" si="23"/>
        <v>0</v>
      </c>
      <c r="BC17" s="38"/>
      <c r="BD17" s="39">
        <f t="shared" si="24"/>
        <v>0</v>
      </c>
      <c r="BE17" s="38"/>
      <c r="BF17" s="39">
        <f t="shared" si="25"/>
        <v>0</v>
      </c>
      <c r="BG17" s="38"/>
      <c r="BH17" s="39">
        <f t="shared" si="26"/>
        <v>0</v>
      </c>
      <c r="BI17" s="40"/>
      <c r="BJ17" s="36"/>
      <c r="BK17" s="37">
        <f t="shared" si="27"/>
        <v>0</v>
      </c>
      <c r="BL17" s="38"/>
      <c r="BM17" s="39">
        <f t="shared" si="28"/>
        <v>0</v>
      </c>
      <c r="BN17" s="38"/>
      <c r="BO17" s="39">
        <f t="shared" si="29"/>
        <v>0</v>
      </c>
      <c r="BP17" s="38"/>
      <c r="BQ17" s="39">
        <f t="shared" si="30"/>
        <v>0</v>
      </c>
      <c r="BR17" s="38"/>
      <c r="BS17" s="39">
        <f t="shared" si="31"/>
        <v>0</v>
      </c>
      <c r="BT17" s="38"/>
      <c r="BU17" s="39">
        <f t="shared" si="32"/>
        <v>0</v>
      </c>
      <c r="BV17" s="40"/>
      <c r="BW17" s="36"/>
      <c r="BX17" s="37">
        <f t="shared" si="33"/>
        <v>0</v>
      </c>
      <c r="BY17" s="38"/>
      <c r="BZ17" s="39">
        <f t="shared" si="34"/>
        <v>0</v>
      </c>
      <c r="CA17" s="38"/>
      <c r="CB17" s="39">
        <f t="shared" si="35"/>
        <v>0</v>
      </c>
      <c r="CC17" s="38"/>
      <c r="CD17" s="39">
        <f t="shared" si="36"/>
        <v>0</v>
      </c>
      <c r="CE17" s="38"/>
      <c r="CF17" s="39">
        <f t="shared" si="37"/>
        <v>0</v>
      </c>
      <c r="CG17" s="38"/>
      <c r="CH17" s="39">
        <f t="shared" si="38"/>
        <v>0</v>
      </c>
      <c r="CI17" s="40"/>
      <c r="CJ17" s="36"/>
      <c r="CK17" s="37">
        <f t="shared" si="39"/>
        <v>0</v>
      </c>
      <c r="CL17" s="38"/>
      <c r="CM17" s="39">
        <f t="shared" si="40"/>
        <v>0</v>
      </c>
      <c r="CN17" s="38"/>
      <c r="CO17" s="39">
        <f t="shared" si="41"/>
        <v>0</v>
      </c>
      <c r="CP17" s="38"/>
      <c r="CQ17" s="39">
        <f t="shared" si="42"/>
        <v>0</v>
      </c>
      <c r="CR17" s="38"/>
      <c r="CS17" s="39">
        <f t="shared" si="43"/>
        <v>0</v>
      </c>
      <c r="CT17" s="38"/>
      <c r="CU17" s="39">
        <f t="shared" si="44"/>
        <v>0</v>
      </c>
      <c r="CV17" s="40"/>
      <c r="CW17" s="36"/>
      <c r="CX17" s="37">
        <f t="shared" si="45"/>
        <v>0</v>
      </c>
      <c r="CY17" s="38"/>
      <c r="CZ17" s="39">
        <f t="shared" si="46"/>
        <v>0</v>
      </c>
      <c r="DA17" s="38"/>
      <c r="DB17" s="39">
        <f t="shared" si="47"/>
        <v>0</v>
      </c>
      <c r="DC17" s="38"/>
      <c r="DD17" s="39">
        <f t="shared" si="48"/>
        <v>0</v>
      </c>
      <c r="DE17" s="38"/>
      <c r="DF17" s="39">
        <f t="shared" si="49"/>
        <v>0</v>
      </c>
      <c r="DG17" s="38"/>
      <c r="DH17" s="39">
        <f t="shared" si="50"/>
        <v>0</v>
      </c>
      <c r="DI17" s="41">
        <f t="shared" si="1"/>
        <v>0</v>
      </c>
      <c r="DJ17" s="41">
        <f t="shared" si="2"/>
        <v>0</v>
      </c>
      <c r="DK17" s="41">
        <f t="shared" si="51"/>
        <v>0</v>
      </c>
      <c r="DL17" s="16">
        <f t="shared" si="52"/>
        <v>0</v>
      </c>
    </row>
    <row r="18" spans="1:116" x14ac:dyDescent="0.25">
      <c r="B18" s="46" t="s">
        <v>32</v>
      </c>
      <c r="C18" s="42" t="s">
        <v>33</v>
      </c>
      <c r="D18" s="53">
        <f>93040-D29</f>
        <v>90175.623000000007</v>
      </c>
      <c r="E18" s="224">
        <f>H18*$K$81</f>
        <v>255.1</v>
      </c>
      <c r="F18" s="34">
        <f>D18*E18</f>
        <v>23003801.427300002</v>
      </c>
      <c r="G18" s="40"/>
      <c r="H18" s="195">
        <v>250</v>
      </c>
      <c r="I18" s="40"/>
      <c r="J18" s="36"/>
      <c r="K18" s="37">
        <f t="shared" si="3"/>
        <v>0</v>
      </c>
      <c r="L18" s="38"/>
      <c r="M18" s="39">
        <f t="shared" si="4"/>
        <v>0</v>
      </c>
      <c r="N18" s="38"/>
      <c r="O18" s="39">
        <f t="shared" si="5"/>
        <v>0</v>
      </c>
      <c r="P18" s="38"/>
      <c r="Q18" s="39">
        <f t="shared" si="6"/>
        <v>0</v>
      </c>
      <c r="R18" s="38"/>
      <c r="S18" s="39">
        <f t="shared" si="7"/>
        <v>0</v>
      </c>
      <c r="T18" s="38"/>
      <c r="U18" s="39">
        <f t="shared" si="8"/>
        <v>0</v>
      </c>
      <c r="V18" s="40"/>
      <c r="W18" s="36"/>
      <c r="X18" s="37">
        <f t="shared" si="9"/>
        <v>0</v>
      </c>
      <c r="Y18" s="38"/>
      <c r="Z18" s="39">
        <f t="shared" si="10"/>
        <v>0</v>
      </c>
      <c r="AA18" s="38"/>
      <c r="AB18" s="39">
        <f t="shared" si="11"/>
        <v>0</v>
      </c>
      <c r="AC18" s="38"/>
      <c r="AD18" s="39">
        <f t="shared" si="12"/>
        <v>0</v>
      </c>
      <c r="AE18" s="38"/>
      <c r="AF18" s="39">
        <f t="shared" si="13"/>
        <v>0</v>
      </c>
      <c r="AG18" s="38"/>
      <c r="AH18" s="39">
        <f t="shared" si="14"/>
        <v>0</v>
      </c>
      <c r="AI18" s="40"/>
      <c r="AJ18" s="36">
        <v>0.6</v>
      </c>
      <c r="AK18" s="37">
        <f t="shared" si="15"/>
        <v>13802280.856380001</v>
      </c>
      <c r="AL18" s="38">
        <v>1</v>
      </c>
      <c r="AM18" s="39">
        <f t="shared" si="16"/>
        <v>13802280.856380001</v>
      </c>
      <c r="AN18" s="38"/>
      <c r="AO18" s="39">
        <f t="shared" si="17"/>
        <v>0</v>
      </c>
      <c r="AP18" s="38"/>
      <c r="AQ18" s="39">
        <f t="shared" si="18"/>
        <v>0</v>
      </c>
      <c r="AR18" s="38"/>
      <c r="AS18" s="39">
        <f t="shared" si="19"/>
        <v>0</v>
      </c>
      <c r="AT18" s="38"/>
      <c r="AU18" s="39">
        <f t="shared" si="20"/>
        <v>0</v>
      </c>
      <c r="AV18" s="40"/>
      <c r="AW18" s="36">
        <v>0.2</v>
      </c>
      <c r="AX18" s="37">
        <f t="shared" si="21"/>
        <v>4600760.2854600009</v>
      </c>
      <c r="AY18" s="38">
        <v>1</v>
      </c>
      <c r="AZ18" s="39">
        <f t="shared" si="22"/>
        <v>4600760.2854600009</v>
      </c>
      <c r="BA18" s="38"/>
      <c r="BB18" s="39">
        <f t="shared" si="23"/>
        <v>0</v>
      </c>
      <c r="BC18" s="38"/>
      <c r="BD18" s="39">
        <f t="shared" si="24"/>
        <v>0</v>
      </c>
      <c r="BE18" s="38"/>
      <c r="BF18" s="39">
        <f t="shared" si="25"/>
        <v>0</v>
      </c>
      <c r="BG18" s="38"/>
      <c r="BH18" s="39">
        <f t="shared" si="26"/>
        <v>0</v>
      </c>
      <c r="BI18" s="40"/>
      <c r="BJ18" s="36">
        <v>0.15</v>
      </c>
      <c r="BK18" s="37">
        <f t="shared" si="27"/>
        <v>3450570.2140950002</v>
      </c>
      <c r="BL18" s="38">
        <v>1</v>
      </c>
      <c r="BM18" s="39">
        <f t="shared" si="28"/>
        <v>3450570.2140950002</v>
      </c>
      <c r="BN18" s="38"/>
      <c r="BO18" s="39">
        <f t="shared" si="29"/>
        <v>0</v>
      </c>
      <c r="BP18" s="38"/>
      <c r="BQ18" s="39">
        <f t="shared" si="30"/>
        <v>0</v>
      </c>
      <c r="BR18" s="38"/>
      <c r="BS18" s="39">
        <f t="shared" si="31"/>
        <v>0</v>
      </c>
      <c r="BT18" s="38"/>
      <c r="BU18" s="39">
        <f t="shared" si="32"/>
        <v>0</v>
      </c>
      <c r="BV18" s="40"/>
      <c r="BW18" s="36">
        <v>0.05</v>
      </c>
      <c r="BX18" s="37">
        <f t="shared" si="33"/>
        <v>1150190.0713650002</v>
      </c>
      <c r="BY18" s="38">
        <v>1</v>
      </c>
      <c r="BZ18" s="39">
        <f t="shared" si="34"/>
        <v>1150190.0713650002</v>
      </c>
      <c r="CA18" s="38"/>
      <c r="CB18" s="39">
        <f t="shared" si="35"/>
        <v>0</v>
      </c>
      <c r="CC18" s="38"/>
      <c r="CD18" s="39">
        <f t="shared" si="36"/>
        <v>0</v>
      </c>
      <c r="CE18" s="38"/>
      <c r="CF18" s="39">
        <f t="shared" si="37"/>
        <v>0</v>
      </c>
      <c r="CG18" s="38"/>
      <c r="CH18" s="39">
        <f t="shared" si="38"/>
        <v>0</v>
      </c>
      <c r="CI18" s="40"/>
      <c r="CJ18" s="36"/>
      <c r="CK18" s="37">
        <f t="shared" si="39"/>
        <v>0</v>
      </c>
      <c r="CL18" s="38"/>
      <c r="CM18" s="39">
        <f t="shared" si="40"/>
        <v>0</v>
      </c>
      <c r="CN18" s="38"/>
      <c r="CO18" s="39">
        <f t="shared" si="41"/>
        <v>0</v>
      </c>
      <c r="CP18" s="38"/>
      <c r="CQ18" s="39">
        <f t="shared" si="42"/>
        <v>0</v>
      </c>
      <c r="CR18" s="38"/>
      <c r="CS18" s="39">
        <f t="shared" si="43"/>
        <v>0</v>
      </c>
      <c r="CT18" s="38"/>
      <c r="CU18" s="39">
        <f t="shared" si="44"/>
        <v>0</v>
      </c>
      <c r="CV18" s="40"/>
      <c r="CW18" s="36"/>
      <c r="CX18" s="37">
        <f t="shared" si="45"/>
        <v>0</v>
      </c>
      <c r="CY18" s="38"/>
      <c r="CZ18" s="39">
        <f t="shared" si="46"/>
        <v>0</v>
      </c>
      <c r="DA18" s="38"/>
      <c r="DB18" s="39">
        <f t="shared" si="47"/>
        <v>0</v>
      </c>
      <c r="DC18" s="38"/>
      <c r="DD18" s="39">
        <f t="shared" si="48"/>
        <v>0</v>
      </c>
      <c r="DE18" s="38"/>
      <c r="DF18" s="39">
        <f t="shared" si="49"/>
        <v>0</v>
      </c>
      <c r="DG18" s="38"/>
      <c r="DH18" s="39">
        <f t="shared" si="50"/>
        <v>0</v>
      </c>
      <c r="DI18" s="41">
        <f t="shared" si="1"/>
        <v>23003801.427300002</v>
      </c>
      <c r="DJ18" s="41">
        <f t="shared" si="2"/>
        <v>23003801.427300002</v>
      </c>
      <c r="DK18" s="41">
        <f t="shared" si="51"/>
        <v>23003801.427300002</v>
      </c>
      <c r="DL18" s="16">
        <f t="shared" si="52"/>
        <v>0</v>
      </c>
    </row>
    <row r="19" spans="1:116" x14ac:dyDescent="0.25">
      <c r="B19" s="46" t="s">
        <v>34</v>
      </c>
      <c r="C19" s="42" t="s">
        <v>33</v>
      </c>
      <c r="D19" s="53">
        <f>93040-D31</f>
        <v>90175.623000000007</v>
      </c>
      <c r="E19" s="34">
        <f>$K$70</f>
        <v>-108.3695731319762</v>
      </c>
      <c r="F19" s="34">
        <f>D19*E19</f>
        <v>-9772293.771420015</v>
      </c>
      <c r="G19" s="40"/>
      <c r="H19" s="195">
        <v>-123.79</v>
      </c>
      <c r="I19" s="40"/>
      <c r="J19" s="36"/>
      <c r="K19" s="37">
        <f t="shared" si="3"/>
        <v>0</v>
      </c>
      <c r="L19" s="38"/>
      <c r="M19" s="39">
        <f t="shared" si="4"/>
        <v>0</v>
      </c>
      <c r="N19" s="38"/>
      <c r="O19" s="39">
        <f t="shared" si="5"/>
        <v>0</v>
      </c>
      <c r="P19" s="38"/>
      <c r="Q19" s="39">
        <f t="shared" si="6"/>
        <v>0</v>
      </c>
      <c r="R19" s="38"/>
      <c r="S19" s="39">
        <f t="shared" si="7"/>
        <v>0</v>
      </c>
      <c r="T19" s="38"/>
      <c r="U19" s="39">
        <f t="shared" si="8"/>
        <v>0</v>
      </c>
      <c r="V19" s="40"/>
      <c r="W19" s="36"/>
      <c r="X19" s="37">
        <f t="shared" si="9"/>
        <v>0</v>
      </c>
      <c r="Y19" s="38"/>
      <c r="Z19" s="39">
        <f t="shared" si="10"/>
        <v>0</v>
      </c>
      <c r="AA19" s="38"/>
      <c r="AB19" s="39">
        <f t="shared" si="11"/>
        <v>0</v>
      </c>
      <c r="AC19" s="38"/>
      <c r="AD19" s="39">
        <f t="shared" si="12"/>
        <v>0</v>
      </c>
      <c r="AE19" s="38"/>
      <c r="AF19" s="39">
        <f t="shared" si="13"/>
        <v>0</v>
      </c>
      <c r="AG19" s="38"/>
      <c r="AH19" s="39">
        <f t="shared" si="14"/>
        <v>0</v>
      </c>
      <c r="AI19" s="40"/>
      <c r="AJ19" s="36">
        <v>0.6</v>
      </c>
      <c r="AK19" s="37">
        <f t="shared" si="15"/>
        <v>-5863376.2628520085</v>
      </c>
      <c r="AL19" s="38">
        <v>1</v>
      </c>
      <c r="AM19" s="39">
        <f t="shared" si="16"/>
        <v>-5863376.2628520085</v>
      </c>
      <c r="AN19" s="38"/>
      <c r="AO19" s="39">
        <f t="shared" si="17"/>
        <v>0</v>
      </c>
      <c r="AP19" s="38"/>
      <c r="AQ19" s="39">
        <f t="shared" si="18"/>
        <v>0</v>
      </c>
      <c r="AR19" s="38"/>
      <c r="AS19" s="39">
        <f t="shared" si="19"/>
        <v>0</v>
      </c>
      <c r="AT19" s="38"/>
      <c r="AU19" s="39">
        <f t="shared" si="20"/>
        <v>0</v>
      </c>
      <c r="AV19" s="40"/>
      <c r="AW19" s="36">
        <v>0.25</v>
      </c>
      <c r="AX19" s="37">
        <f t="shared" si="21"/>
        <v>-2443073.4428550038</v>
      </c>
      <c r="AY19" s="38">
        <v>1</v>
      </c>
      <c r="AZ19" s="39">
        <f t="shared" si="22"/>
        <v>-2443073.4428550038</v>
      </c>
      <c r="BA19" s="38"/>
      <c r="BB19" s="39">
        <f t="shared" si="23"/>
        <v>0</v>
      </c>
      <c r="BC19" s="38"/>
      <c r="BD19" s="39">
        <f t="shared" si="24"/>
        <v>0</v>
      </c>
      <c r="BE19" s="38"/>
      <c r="BF19" s="39">
        <f t="shared" si="25"/>
        <v>0</v>
      </c>
      <c r="BG19" s="38"/>
      <c r="BH19" s="39">
        <f t="shared" si="26"/>
        <v>0</v>
      </c>
      <c r="BI19" s="40"/>
      <c r="BJ19" s="36">
        <v>0.15</v>
      </c>
      <c r="BK19" s="37">
        <f t="shared" si="27"/>
        <v>-1465844.0657130021</v>
      </c>
      <c r="BL19" s="38">
        <v>1</v>
      </c>
      <c r="BM19" s="39">
        <f t="shared" si="28"/>
        <v>-1465844.0657130021</v>
      </c>
      <c r="BN19" s="38"/>
      <c r="BO19" s="39">
        <f t="shared" si="29"/>
        <v>0</v>
      </c>
      <c r="BP19" s="38"/>
      <c r="BQ19" s="39">
        <f t="shared" si="30"/>
        <v>0</v>
      </c>
      <c r="BR19" s="38"/>
      <c r="BS19" s="39">
        <f t="shared" si="31"/>
        <v>0</v>
      </c>
      <c r="BT19" s="38"/>
      <c r="BU19" s="39">
        <f t="shared" si="32"/>
        <v>0</v>
      </c>
      <c r="BV19" s="40"/>
      <c r="BW19" s="36"/>
      <c r="BX19" s="37">
        <f t="shared" si="33"/>
        <v>0</v>
      </c>
      <c r="BY19" s="38"/>
      <c r="BZ19" s="39">
        <f t="shared" si="34"/>
        <v>0</v>
      </c>
      <c r="CA19" s="38"/>
      <c r="CB19" s="39">
        <f t="shared" si="35"/>
        <v>0</v>
      </c>
      <c r="CC19" s="38"/>
      <c r="CD19" s="39">
        <f t="shared" si="36"/>
        <v>0</v>
      </c>
      <c r="CE19" s="38"/>
      <c r="CF19" s="39">
        <f t="shared" si="37"/>
        <v>0</v>
      </c>
      <c r="CG19" s="38"/>
      <c r="CH19" s="39">
        <f t="shared" si="38"/>
        <v>0</v>
      </c>
      <c r="CI19" s="40"/>
      <c r="CJ19" s="36"/>
      <c r="CK19" s="37">
        <f t="shared" si="39"/>
        <v>0</v>
      </c>
      <c r="CL19" s="38"/>
      <c r="CM19" s="39">
        <f t="shared" si="40"/>
        <v>0</v>
      </c>
      <c r="CN19" s="38"/>
      <c r="CO19" s="39">
        <f t="shared" si="41"/>
        <v>0</v>
      </c>
      <c r="CP19" s="38"/>
      <c r="CQ19" s="39">
        <f t="shared" si="42"/>
        <v>0</v>
      </c>
      <c r="CR19" s="38"/>
      <c r="CS19" s="39">
        <f t="shared" si="43"/>
        <v>0</v>
      </c>
      <c r="CT19" s="38"/>
      <c r="CU19" s="39">
        <f t="shared" si="44"/>
        <v>0</v>
      </c>
      <c r="CV19" s="40"/>
      <c r="CW19" s="36"/>
      <c r="CX19" s="37">
        <f t="shared" si="45"/>
        <v>0</v>
      </c>
      <c r="CY19" s="38"/>
      <c r="CZ19" s="39">
        <f t="shared" si="46"/>
        <v>0</v>
      </c>
      <c r="DA19" s="38"/>
      <c r="DB19" s="39">
        <f t="shared" si="47"/>
        <v>0</v>
      </c>
      <c r="DC19" s="38"/>
      <c r="DD19" s="39">
        <f t="shared" si="48"/>
        <v>0</v>
      </c>
      <c r="DE19" s="38"/>
      <c r="DF19" s="39">
        <f t="shared" si="49"/>
        <v>0</v>
      </c>
      <c r="DG19" s="38"/>
      <c r="DH19" s="39">
        <f t="shared" si="50"/>
        <v>0</v>
      </c>
      <c r="DI19" s="41">
        <f t="shared" si="1"/>
        <v>-9772293.771420015</v>
      </c>
      <c r="DJ19" s="41">
        <f t="shared" si="2"/>
        <v>-9772293.7714200132</v>
      </c>
      <c r="DK19" s="41">
        <f t="shared" si="51"/>
        <v>-9772293.7714200132</v>
      </c>
      <c r="DL19" s="16">
        <f t="shared" si="52"/>
        <v>1</v>
      </c>
    </row>
    <row r="20" spans="1:116" x14ac:dyDescent="0.25">
      <c r="B20" s="46" t="s">
        <v>35</v>
      </c>
      <c r="C20" s="42" t="s">
        <v>36</v>
      </c>
      <c r="D20" s="53">
        <v>837360</v>
      </c>
      <c r="E20" s="47">
        <f>$K$71</f>
        <v>-0.38793301271641789</v>
      </c>
      <c r="F20" s="34">
        <f t="shared" ref="F20:F24" si="53">D20*E20</f>
        <v>-324839.58752821968</v>
      </c>
      <c r="G20" s="40"/>
      <c r="H20" s="195">
        <v>-0.38</v>
      </c>
      <c r="I20" s="40"/>
      <c r="J20" s="36"/>
      <c r="K20" s="37">
        <f t="shared" si="3"/>
        <v>0</v>
      </c>
      <c r="L20" s="38"/>
      <c r="M20" s="39">
        <f t="shared" si="4"/>
        <v>0</v>
      </c>
      <c r="N20" s="38"/>
      <c r="O20" s="39">
        <f t="shared" si="5"/>
        <v>0</v>
      </c>
      <c r="P20" s="38"/>
      <c r="Q20" s="39">
        <f t="shared" si="6"/>
        <v>0</v>
      </c>
      <c r="R20" s="38"/>
      <c r="S20" s="39">
        <f t="shared" si="7"/>
        <v>0</v>
      </c>
      <c r="T20" s="38"/>
      <c r="U20" s="39">
        <f t="shared" si="8"/>
        <v>0</v>
      </c>
      <c r="V20" s="40"/>
      <c r="W20" s="36"/>
      <c r="X20" s="37">
        <f t="shared" si="9"/>
        <v>0</v>
      </c>
      <c r="Y20" s="38"/>
      <c r="Z20" s="39">
        <f t="shared" si="10"/>
        <v>0</v>
      </c>
      <c r="AA20" s="38"/>
      <c r="AB20" s="39">
        <f t="shared" si="11"/>
        <v>0</v>
      </c>
      <c r="AC20" s="38"/>
      <c r="AD20" s="39">
        <f t="shared" si="12"/>
        <v>0</v>
      </c>
      <c r="AE20" s="38"/>
      <c r="AF20" s="39">
        <f t="shared" si="13"/>
        <v>0</v>
      </c>
      <c r="AG20" s="38"/>
      <c r="AH20" s="39">
        <f t="shared" si="14"/>
        <v>0</v>
      </c>
      <c r="AI20" s="40"/>
      <c r="AJ20" s="36"/>
      <c r="AK20" s="37">
        <f t="shared" si="15"/>
        <v>0</v>
      </c>
      <c r="AL20" s="38"/>
      <c r="AM20" s="39">
        <f t="shared" si="16"/>
        <v>0</v>
      </c>
      <c r="AN20" s="38"/>
      <c r="AO20" s="39">
        <f t="shared" si="17"/>
        <v>0</v>
      </c>
      <c r="AP20" s="38"/>
      <c r="AQ20" s="39">
        <f t="shared" si="18"/>
        <v>0</v>
      </c>
      <c r="AR20" s="38"/>
      <c r="AS20" s="39">
        <f t="shared" si="19"/>
        <v>0</v>
      </c>
      <c r="AT20" s="38"/>
      <c r="AU20" s="39">
        <f t="shared" si="20"/>
        <v>0</v>
      </c>
      <c r="AV20" s="40"/>
      <c r="AW20" s="36">
        <v>1</v>
      </c>
      <c r="AX20" s="37">
        <f t="shared" si="21"/>
        <v>-324839.58752821968</v>
      </c>
      <c r="AY20" s="38">
        <v>1</v>
      </c>
      <c r="AZ20" s="39">
        <f t="shared" si="22"/>
        <v>-324839.58752821968</v>
      </c>
      <c r="BA20" s="38"/>
      <c r="BB20" s="39">
        <f t="shared" si="23"/>
        <v>0</v>
      </c>
      <c r="BC20" s="38"/>
      <c r="BD20" s="39">
        <f t="shared" si="24"/>
        <v>0</v>
      </c>
      <c r="BE20" s="38"/>
      <c r="BF20" s="39">
        <f t="shared" si="25"/>
        <v>0</v>
      </c>
      <c r="BG20" s="38"/>
      <c r="BH20" s="39">
        <f t="shared" si="26"/>
        <v>0</v>
      </c>
      <c r="BI20" s="40"/>
      <c r="BJ20" s="36"/>
      <c r="BK20" s="37">
        <f t="shared" si="27"/>
        <v>0</v>
      </c>
      <c r="BL20" s="38"/>
      <c r="BM20" s="39">
        <f t="shared" si="28"/>
        <v>0</v>
      </c>
      <c r="BN20" s="38"/>
      <c r="BO20" s="39">
        <f t="shared" si="29"/>
        <v>0</v>
      </c>
      <c r="BP20" s="38"/>
      <c r="BQ20" s="39">
        <f t="shared" si="30"/>
        <v>0</v>
      </c>
      <c r="BR20" s="38"/>
      <c r="BS20" s="39">
        <f t="shared" si="31"/>
        <v>0</v>
      </c>
      <c r="BT20" s="38"/>
      <c r="BU20" s="39">
        <f t="shared" si="32"/>
        <v>0</v>
      </c>
      <c r="BV20" s="40"/>
      <c r="BW20" s="36"/>
      <c r="BX20" s="37">
        <f t="shared" si="33"/>
        <v>0</v>
      </c>
      <c r="BY20" s="38"/>
      <c r="BZ20" s="39">
        <f t="shared" si="34"/>
        <v>0</v>
      </c>
      <c r="CA20" s="38"/>
      <c r="CB20" s="39">
        <f t="shared" si="35"/>
        <v>0</v>
      </c>
      <c r="CC20" s="38"/>
      <c r="CD20" s="39">
        <f t="shared" si="36"/>
        <v>0</v>
      </c>
      <c r="CE20" s="38"/>
      <c r="CF20" s="39">
        <f t="shared" si="37"/>
        <v>0</v>
      </c>
      <c r="CG20" s="38"/>
      <c r="CH20" s="39">
        <f t="shared" si="38"/>
        <v>0</v>
      </c>
      <c r="CI20" s="40"/>
      <c r="CJ20" s="36"/>
      <c r="CK20" s="37">
        <f t="shared" si="39"/>
        <v>0</v>
      </c>
      <c r="CL20" s="38"/>
      <c r="CM20" s="39">
        <f t="shared" si="40"/>
        <v>0</v>
      </c>
      <c r="CN20" s="38"/>
      <c r="CO20" s="39">
        <f t="shared" si="41"/>
        <v>0</v>
      </c>
      <c r="CP20" s="38"/>
      <c r="CQ20" s="39">
        <f t="shared" si="42"/>
        <v>0</v>
      </c>
      <c r="CR20" s="38"/>
      <c r="CS20" s="39">
        <f t="shared" si="43"/>
        <v>0</v>
      </c>
      <c r="CT20" s="38"/>
      <c r="CU20" s="39">
        <f t="shared" si="44"/>
        <v>0</v>
      </c>
      <c r="CV20" s="40"/>
      <c r="CW20" s="36"/>
      <c r="CX20" s="37">
        <f t="shared" si="45"/>
        <v>0</v>
      </c>
      <c r="CY20" s="38"/>
      <c r="CZ20" s="39">
        <f t="shared" si="46"/>
        <v>0</v>
      </c>
      <c r="DA20" s="38"/>
      <c r="DB20" s="39">
        <f t="shared" si="47"/>
        <v>0</v>
      </c>
      <c r="DC20" s="38"/>
      <c r="DD20" s="39">
        <f t="shared" si="48"/>
        <v>0</v>
      </c>
      <c r="DE20" s="38"/>
      <c r="DF20" s="39">
        <f t="shared" si="49"/>
        <v>0</v>
      </c>
      <c r="DG20" s="38"/>
      <c r="DH20" s="39">
        <f t="shared" si="50"/>
        <v>0</v>
      </c>
      <c r="DI20" s="41">
        <f t="shared" si="1"/>
        <v>-324839.58752821968</v>
      </c>
      <c r="DJ20" s="41">
        <f t="shared" si="2"/>
        <v>-324839.58752821968</v>
      </c>
      <c r="DK20" s="41">
        <f t="shared" si="51"/>
        <v>-324839.58752821968</v>
      </c>
      <c r="DL20" s="16">
        <f t="shared" si="52"/>
        <v>0</v>
      </c>
    </row>
    <row r="21" spans="1:116" x14ac:dyDescent="0.25">
      <c r="B21" s="46" t="s">
        <v>37</v>
      </c>
      <c r="C21" s="42" t="s">
        <v>36</v>
      </c>
      <c r="D21" s="53">
        <v>7908400</v>
      </c>
      <c r="E21" s="47">
        <f>$K$72</f>
        <v>-0.31414430979039298</v>
      </c>
      <c r="F21" s="34">
        <f t="shared" si="53"/>
        <v>-2484378.8595463438</v>
      </c>
      <c r="G21" s="40"/>
      <c r="H21" s="195">
        <v>-0.37</v>
      </c>
      <c r="I21" s="40"/>
      <c r="J21" s="36"/>
      <c r="K21" s="37">
        <f t="shared" si="3"/>
        <v>0</v>
      </c>
      <c r="L21" s="38"/>
      <c r="M21" s="39">
        <f t="shared" si="4"/>
        <v>0</v>
      </c>
      <c r="N21" s="38"/>
      <c r="O21" s="39">
        <f t="shared" si="5"/>
        <v>0</v>
      </c>
      <c r="P21" s="38"/>
      <c r="Q21" s="39">
        <f t="shared" si="6"/>
        <v>0</v>
      </c>
      <c r="R21" s="38"/>
      <c r="S21" s="39">
        <f t="shared" si="7"/>
        <v>0</v>
      </c>
      <c r="T21" s="38"/>
      <c r="U21" s="39">
        <f t="shared" si="8"/>
        <v>0</v>
      </c>
      <c r="V21" s="40"/>
      <c r="W21" s="36"/>
      <c r="X21" s="37">
        <f t="shared" si="9"/>
        <v>0</v>
      </c>
      <c r="Y21" s="38"/>
      <c r="Z21" s="39">
        <f t="shared" si="10"/>
        <v>0</v>
      </c>
      <c r="AA21" s="38"/>
      <c r="AB21" s="39">
        <f t="shared" si="11"/>
        <v>0</v>
      </c>
      <c r="AC21" s="38"/>
      <c r="AD21" s="39">
        <f t="shared" si="12"/>
        <v>0</v>
      </c>
      <c r="AE21" s="38"/>
      <c r="AF21" s="39">
        <f t="shared" si="13"/>
        <v>0</v>
      </c>
      <c r="AG21" s="38"/>
      <c r="AH21" s="39">
        <f t="shared" si="14"/>
        <v>0</v>
      </c>
      <c r="AI21" s="40"/>
      <c r="AJ21" s="36"/>
      <c r="AK21" s="37">
        <f t="shared" si="15"/>
        <v>0</v>
      </c>
      <c r="AL21" s="38"/>
      <c r="AM21" s="39">
        <f t="shared" si="16"/>
        <v>0</v>
      </c>
      <c r="AN21" s="38"/>
      <c r="AO21" s="39">
        <f t="shared" si="17"/>
        <v>0</v>
      </c>
      <c r="AP21" s="38"/>
      <c r="AQ21" s="39">
        <f t="shared" si="18"/>
        <v>0</v>
      </c>
      <c r="AR21" s="38"/>
      <c r="AS21" s="39">
        <f t="shared" si="19"/>
        <v>0</v>
      </c>
      <c r="AT21" s="38"/>
      <c r="AU21" s="39">
        <f t="shared" si="20"/>
        <v>0</v>
      </c>
      <c r="AV21" s="40"/>
      <c r="AW21" s="36">
        <v>0.2</v>
      </c>
      <c r="AX21" s="37">
        <f t="shared" si="21"/>
        <v>-496875.77190926881</v>
      </c>
      <c r="AY21" s="38">
        <v>1</v>
      </c>
      <c r="AZ21" s="39">
        <f t="shared" si="22"/>
        <v>-496875.77190926881</v>
      </c>
      <c r="BA21" s="38"/>
      <c r="BB21" s="39">
        <f t="shared" si="23"/>
        <v>0</v>
      </c>
      <c r="BC21" s="38"/>
      <c r="BD21" s="39">
        <f t="shared" si="24"/>
        <v>0</v>
      </c>
      <c r="BE21" s="38"/>
      <c r="BF21" s="39">
        <f t="shared" si="25"/>
        <v>0</v>
      </c>
      <c r="BG21" s="38"/>
      <c r="BH21" s="39">
        <f t="shared" si="26"/>
        <v>0</v>
      </c>
      <c r="BI21" s="40"/>
      <c r="BJ21" s="36"/>
      <c r="BK21" s="37">
        <f t="shared" si="27"/>
        <v>0</v>
      </c>
      <c r="BL21" s="38"/>
      <c r="BM21" s="39">
        <f t="shared" si="28"/>
        <v>0</v>
      </c>
      <c r="BN21" s="38"/>
      <c r="BO21" s="39">
        <f t="shared" si="29"/>
        <v>0</v>
      </c>
      <c r="BP21" s="38"/>
      <c r="BQ21" s="39">
        <f t="shared" si="30"/>
        <v>0</v>
      </c>
      <c r="BR21" s="38"/>
      <c r="BS21" s="39">
        <f t="shared" si="31"/>
        <v>0</v>
      </c>
      <c r="BT21" s="38"/>
      <c r="BU21" s="39">
        <f t="shared" si="32"/>
        <v>0</v>
      </c>
      <c r="BV21" s="40"/>
      <c r="BW21" s="36">
        <v>0.8</v>
      </c>
      <c r="BX21" s="37">
        <f t="shared" si="33"/>
        <v>-1987503.0876370752</v>
      </c>
      <c r="BY21" s="38">
        <v>1</v>
      </c>
      <c r="BZ21" s="39">
        <f t="shared" si="34"/>
        <v>-1987503.0876370752</v>
      </c>
      <c r="CA21" s="38"/>
      <c r="CB21" s="39">
        <f t="shared" si="35"/>
        <v>0</v>
      </c>
      <c r="CC21" s="38"/>
      <c r="CD21" s="39">
        <f t="shared" si="36"/>
        <v>0</v>
      </c>
      <c r="CE21" s="38"/>
      <c r="CF21" s="39">
        <f t="shared" si="37"/>
        <v>0</v>
      </c>
      <c r="CG21" s="38"/>
      <c r="CH21" s="39">
        <f t="shared" si="38"/>
        <v>0</v>
      </c>
      <c r="CI21" s="40"/>
      <c r="CJ21" s="36"/>
      <c r="CK21" s="37">
        <f t="shared" si="39"/>
        <v>0</v>
      </c>
      <c r="CL21" s="38"/>
      <c r="CM21" s="39">
        <f t="shared" si="40"/>
        <v>0</v>
      </c>
      <c r="CN21" s="38"/>
      <c r="CO21" s="39">
        <f t="shared" si="41"/>
        <v>0</v>
      </c>
      <c r="CP21" s="38"/>
      <c r="CQ21" s="39">
        <f t="shared" si="42"/>
        <v>0</v>
      </c>
      <c r="CR21" s="38"/>
      <c r="CS21" s="39">
        <f t="shared" si="43"/>
        <v>0</v>
      </c>
      <c r="CT21" s="38"/>
      <c r="CU21" s="39">
        <f t="shared" si="44"/>
        <v>0</v>
      </c>
      <c r="CV21" s="40"/>
      <c r="CW21" s="36"/>
      <c r="CX21" s="37">
        <f t="shared" si="45"/>
        <v>0</v>
      </c>
      <c r="CY21" s="38"/>
      <c r="CZ21" s="39">
        <f t="shared" si="46"/>
        <v>0</v>
      </c>
      <c r="DA21" s="38"/>
      <c r="DB21" s="39">
        <f t="shared" si="47"/>
        <v>0</v>
      </c>
      <c r="DC21" s="38"/>
      <c r="DD21" s="39">
        <f t="shared" si="48"/>
        <v>0</v>
      </c>
      <c r="DE21" s="38"/>
      <c r="DF21" s="39">
        <f t="shared" si="49"/>
        <v>0</v>
      </c>
      <c r="DG21" s="38"/>
      <c r="DH21" s="39">
        <f t="shared" si="50"/>
        <v>0</v>
      </c>
      <c r="DI21" s="41">
        <f t="shared" si="1"/>
        <v>-2484378.8595463438</v>
      </c>
      <c r="DJ21" s="41">
        <f t="shared" si="2"/>
        <v>-2484378.8595463438</v>
      </c>
      <c r="DK21" s="41">
        <f t="shared" si="51"/>
        <v>-2484378.8595463438</v>
      </c>
      <c r="DL21" s="16">
        <f t="shared" si="52"/>
        <v>0</v>
      </c>
    </row>
    <row r="22" spans="1:116" x14ac:dyDescent="0.25">
      <c r="B22" s="46" t="s">
        <v>38</v>
      </c>
      <c r="C22" s="42" t="s">
        <v>36</v>
      </c>
      <c r="D22" s="53">
        <v>1116480</v>
      </c>
      <c r="E22" s="47">
        <f>$K$73</f>
        <v>-0.13699903999999999</v>
      </c>
      <c r="F22" s="34">
        <f t="shared" si="53"/>
        <v>-152956.68817919999</v>
      </c>
      <c r="G22" s="40"/>
      <c r="H22" s="195">
        <v>-0.16</v>
      </c>
      <c r="I22" s="40"/>
      <c r="J22" s="36"/>
      <c r="K22" s="37">
        <f t="shared" si="3"/>
        <v>0</v>
      </c>
      <c r="L22" s="38"/>
      <c r="M22" s="39">
        <f t="shared" si="4"/>
        <v>0</v>
      </c>
      <c r="N22" s="38"/>
      <c r="O22" s="39">
        <f t="shared" si="5"/>
        <v>0</v>
      </c>
      <c r="P22" s="38"/>
      <c r="Q22" s="39">
        <f t="shared" si="6"/>
        <v>0</v>
      </c>
      <c r="R22" s="38"/>
      <c r="S22" s="39">
        <f t="shared" si="7"/>
        <v>0</v>
      </c>
      <c r="T22" s="38"/>
      <c r="U22" s="39">
        <f t="shared" si="8"/>
        <v>0</v>
      </c>
      <c r="V22" s="40"/>
      <c r="W22" s="36"/>
      <c r="X22" s="37">
        <f t="shared" si="9"/>
        <v>0</v>
      </c>
      <c r="Y22" s="38"/>
      <c r="Z22" s="39">
        <f t="shared" si="10"/>
        <v>0</v>
      </c>
      <c r="AA22" s="38"/>
      <c r="AB22" s="39">
        <f t="shared" si="11"/>
        <v>0</v>
      </c>
      <c r="AC22" s="38"/>
      <c r="AD22" s="39">
        <f t="shared" si="12"/>
        <v>0</v>
      </c>
      <c r="AE22" s="38"/>
      <c r="AF22" s="39">
        <f t="shared" si="13"/>
        <v>0</v>
      </c>
      <c r="AG22" s="38"/>
      <c r="AH22" s="39">
        <f t="shared" si="14"/>
        <v>0</v>
      </c>
      <c r="AI22" s="40"/>
      <c r="AJ22" s="36"/>
      <c r="AK22" s="37">
        <f t="shared" si="15"/>
        <v>0</v>
      </c>
      <c r="AL22" s="38"/>
      <c r="AM22" s="39">
        <f t="shared" si="16"/>
        <v>0</v>
      </c>
      <c r="AN22" s="38"/>
      <c r="AO22" s="39">
        <f t="shared" si="17"/>
        <v>0</v>
      </c>
      <c r="AP22" s="38"/>
      <c r="AQ22" s="39">
        <f t="shared" si="18"/>
        <v>0</v>
      </c>
      <c r="AR22" s="38"/>
      <c r="AS22" s="39">
        <f t="shared" si="19"/>
        <v>0</v>
      </c>
      <c r="AT22" s="38"/>
      <c r="AU22" s="39">
        <f t="shared" si="20"/>
        <v>0</v>
      </c>
      <c r="AV22" s="40"/>
      <c r="AW22" s="36">
        <v>1</v>
      </c>
      <c r="AX22" s="37">
        <f t="shared" si="21"/>
        <v>-152956.68817919999</v>
      </c>
      <c r="AY22" s="38">
        <v>1</v>
      </c>
      <c r="AZ22" s="39">
        <f t="shared" si="22"/>
        <v>-152956.68817919999</v>
      </c>
      <c r="BA22" s="38"/>
      <c r="BB22" s="39">
        <f t="shared" si="23"/>
        <v>0</v>
      </c>
      <c r="BC22" s="38"/>
      <c r="BD22" s="39">
        <f t="shared" si="24"/>
        <v>0</v>
      </c>
      <c r="BE22" s="38"/>
      <c r="BF22" s="39">
        <f t="shared" si="25"/>
        <v>0</v>
      </c>
      <c r="BG22" s="38"/>
      <c r="BH22" s="39">
        <f t="shared" si="26"/>
        <v>0</v>
      </c>
      <c r="BI22" s="40"/>
      <c r="BJ22" s="36"/>
      <c r="BK22" s="37">
        <f t="shared" si="27"/>
        <v>0</v>
      </c>
      <c r="BL22" s="38"/>
      <c r="BM22" s="39">
        <f t="shared" si="28"/>
        <v>0</v>
      </c>
      <c r="BN22" s="38"/>
      <c r="BO22" s="39">
        <f t="shared" si="29"/>
        <v>0</v>
      </c>
      <c r="BP22" s="38"/>
      <c r="BQ22" s="39">
        <f t="shared" si="30"/>
        <v>0</v>
      </c>
      <c r="BR22" s="38"/>
      <c r="BS22" s="39">
        <f t="shared" si="31"/>
        <v>0</v>
      </c>
      <c r="BT22" s="38"/>
      <c r="BU22" s="39">
        <f t="shared" si="32"/>
        <v>0</v>
      </c>
      <c r="BV22" s="40"/>
      <c r="BW22" s="36"/>
      <c r="BX22" s="37">
        <f t="shared" si="33"/>
        <v>0</v>
      </c>
      <c r="BY22" s="38"/>
      <c r="BZ22" s="39">
        <f t="shared" si="34"/>
        <v>0</v>
      </c>
      <c r="CA22" s="38"/>
      <c r="CB22" s="39">
        <f t="shared" si="35"/>
        <v>0</v>
      </c>
      <c r="CC22" s="38"/>
      <c r="CD22" s="39">
        <f t="shared" si="36"/>
        <v>0</v>
      </c>
      <c r="CE22" s="38"/>
      <c r="CF22" s="39">
        <f t="shared" si="37"/>
        <v>0</v>
      </c>
      <c r="CG22" s="38"/>
      <c r="CH22" s="39">
        <f t="shared" si="38"/>
        <v>0</v>
      </c>
      <c r="CI22" s="40"/>
      <c r="CJ22" s="36"/>
      <c r="CK22" s="37">
        <f t="shared" si="39"/>
        <v>0</v>
      </c>
      <c r="CL22" s="38"/>
      <c r="CM22" s="39">
        <f t="shared" si="40"/>
        <v>0</v>
      </c>
      <c r="CN22" s="38"/>
      <c r="CO22" s="39">
        <f t="shared" si="41"/>
        <v>0</v>
      </c>
      <c r="CP22" s="38"/>
      <c r="CQ22" s="39">
        <f t="shared" si="42"/>
        <v>0</v>
      </c>
      <c r="CR22" s="38"/>
      <c r="CS22" s="39">
        <f t="shared" si="43"/>
        <v>0</v>
      </c>
      <c r="CT22" s="38"/>
      <c r="CU22" s="39">
        <f t="shared" si="44"/>
        <v>0</v>
      </c>
      <c r="CV22" s="40"/>
      <c r="CW22" s="36"/>
      <c r="CX22" s="37">
        <f t="shared" si="45"/>
        <v>0</v>
      </c>
      <c r="CY22" s="38"/>
      <c r="CZ22" s="39">
        <f t="shared" si="46"/>
        <v>0</v>
      </c>
      <c r="DA22" s="38"/>
      <c r="DB22" s="39">
        <f t="shared" si="47"/>
        <v>0</v>
      </c>
      <c r="DC22" s="38"/>
      <c r="DD22" s="39">
        <f t="shared" si="48"/>
        <v>0</v>
      </c>
      <c r="DE22" s="38"/>
      <c r="DF22" s="39">
        <f t="shared" si="49"/>
        <v>0</v>
      </c>
      <c r="DG22" s="38"/>
      <c r="DH22" s="39">
        <f t="shared" si="50"/>
        <v>0</v>
      </c>
      <c r="DI22" s="41">
        <f t="shared" si="1"/>
        <v>-152956.68817919999</v>
      </c>
      <c r="DJ22" s="41">
        <f t="shared" si="2"/>
        <v>-152956.68817919999</v>
      </c>
      <c r="DK22" s="41">
        <f t="shared" si="51"/>
        <v>-152956.68817919999</v>
      </c>
      <c r="DL22" s="16">
        <f t="shared" si="52"/>
        <v>0</v>
      </c>
    </row>
    <row r="23" spans="1:116" x14ac:dyDescent="0.25">
      <c r="B23" s="46" t="s">
        <v>39</v>
      </c>
      <c r="C23" s="42" t="s">
        <v>40</v>
      </c>
      <c r="D23" s="53">
        <v>16666.666666666668</v>
      </c>
      <c r="E23" s="224">
        <f>H23*$K$81</f>
        <v>107.142</v>
      </c>
      <c r="F23" s="34">
        <v>1750000.0000000002</v>
      </c>
      <c r="G23" s="40"/>
      <c r="H23" s="195">
        <v>105</v>
      </c>
      <c r="I23" s="40"/>
      <c r="J23" s="36"/>
      <c r="K23" s="37">
        <f t="shared" si="3"/>
        <v>0</v>
      </c>
      <c r="L23" s="38"/>
      <c r="M23" s="39">
        <f t="shared" si="4"/>
        <v>0</v>
      </c>
      <c r="N23" s="38"/>
      <c r="O23" s="39">
        <f t="shared" si="5"/>
        <v>0</v>
      </c>
      <c r="P23" s="38"/>
      <c r="Q23" s="39">
        <f t="shared" si="6"/>
        <v>0</v>
      </c>
      <c r="R23" s="38"/>
      <c r="S23" s="39">
        <f t="shared" si="7"/>
        <v>0</v>
      </c>
      <c r="T23" s="38"/>
      <c r="U23" s="39">
        <f t="shared" si="8"/>
        <v>0</v>
      </c>
      <c r="V23" s="40"/>
      <c r="W23" s="36"/>
      <c r="X23" s="37">
        <f t="shared" si="9"/>
        <v>0</v>
      </c>
      <c r="Y23" s="38"/>
      <c r="Z23" s="39">
        <f t="shared" si="10"/>
        <v>0</v>
      </c>
      <c r="AA23" s="38"/>
      <c r="AB23" s="39">
        <f t="shared" si="11"/>
        <v>0</v>
      </c>
      <c r="AC23" s="38"/>
      <c r="AD23" s="39">
        <f t="shared" si="12"/>
        <v>0</v>
      </c>
      <c r="AE23" s="38"/>
      <c r="AF23" s="39">
        <f t="shared" si="13"/>
        <v>0</v>
      </c>
      <c r="AG23" s="38"/>
      <c r="AH23" s="39">
        <f t="shared" si="14"/>
        <v>0</v>
      </c>
      <c r="AI23" s="40"/>
      <c r="AJ23" s="36">
        <v>1</v>
      </c>
      <c r="AK23" s="37">
        <f t="shared" si="15"/>
        <v>1750000.0000000002</v>
      </c>
      <c r="AL23" s="38">
        <v>1</v>
      </c>
      <c r="AM23" s="39">
        <f t="shared" si="16"/>
        <v>1750000.0000000002</v>
      </c>
      <c r="AN23" s="38"/>
      <c r="AO23" s="39">
        <f t="shared" si="17"/>
        <v>0</v>
      </c>
      <c r="AP23" s="38"/>
      <c r="AQ23" s="39">
        <f t="shared" si="18"/>
        <v>0</v>
      </c>
      <c r="AR23" s="38"/>
      <c r="AS23" s="39">
        <f t="shared" si="19"/>
        <v>0</v>
      </c>
      <c r="AT23" s="38"/>
      <c r="AU23" s="39">
        <f t="shared" si="20"/>
        <v>0</v>
      </c>
      <c r="AV23" s="40"/>
      <c r="AW23" s="36"/>
      <c r="AX23" s="37">
        <f t="shared" si="21"/>
        <v>0</v>
      </c>
      <c r="AY23" s="38"/>
      <c r="AZ23" s="39">
        <f t="shared" si="22"/>
        <v>0</v>
      </c>
      <c r="BA23" s="38"/>
      <c r="BB23" s="39">
        <f t="shared" si="23"/>
        <v>0</v>
      </c>
      <c r="BC23" s="38"/>
      <c r="BD23" s="39">
        <f t="shared" si="24"/>
        <v>0</v>
      </c>
      <c r="BE23" s="38"/>
      <c r="BF23" s="39">
        <f t="shared" si="25"/>
        <v>0</v>
      </c>
      <c r="BG23" s="38"/>
      <c r="BH23" s="39">
        <f t="shared" si="26"/>
        <v>0</v>
      </c>
      <c r="BI23" s="40"/>
      <c r="BJ23" s="36"/>
      <c r="BK23" s="37">
        <f t="shared" si="27"/>
        <v>0</v>
      </c>
      <c r="BL23" s="38"/>
      <c r="BM23" s="39">
        <f t="shared" si="28"/>
        <v>0</v>
      </c>
      <c r="BN23" s="38"/>
      <c r="BO23" s="39">
        <f t="shared" si="29"/>
        <v>0</v>
      </c>
      <c r="BP23" s="38"/>
      <c r="BQ23" s="39">
        <f t="shared" si="30"/>
        <v>0</v>
      </c>
      <c r="BR23" s="38"/>
      <c r="BS23" s="39">
        <f t="shared" si="31"/>
        <v>0</v>
      </c>
      <c r="BT23" s="38"/>
      <c r="BU23" s="39">
        <f t="shared" si="32"/>
        <v>0</v>
      </c>
      <c r="BV23" s="40"/>
      <c r="BW23" s="36"/>
      <c r="BX23" s="37">
        <f t="shared" si="33"/>
        <v>0</v>
      </c>
      <c r="BY23" s="38"/>
      <c r="BZ23" s="39">
        <f t="shared" si="34"/>
        <v>0</v>
      </c>
      <c r="CA23" s="38"/>
      <c r="CB23" s="39">
        <f t="shared" si="35"/>
        <v>0</v>
      </c>
      <c r="CC23" s="38"/>
      <c r="CD23" s="39">
        <f t="shared" si="36"/>
        <v>0</v>
      </c>
      <c r="CE23" s="38"/>
      <c r="CF23" s="39">
        <f t="shared" si="37"/>
        <v>0</v>
      </c>
      <c r="CG23" s="38"/>
      <c r="CH23" s="39">
        <f t="shared" si="38"/>
        <v>0</v>
      </c>
      <c r="CI23" s="40"/>
      <c r="CJ23" s="36"/>
      <c r="CK23" s="37">
        <f t="shared" si="39"/>
        <v>0</v>
      </c>
      <c r="CL23" s="38"/>
      <c r="CM23" s="39">
        <f t="shared" si="40"/>
        <v>0</v>
      </c>
      <c r="CN23" s="38"/>
      <c r="CO23" s="39">
        <f t="shared" si="41"/>
        <v>0</v>
      </c>
      <c r="CP23" s="38"/>
      <c r="CQ23" s="39">
        <f t="shared" si="42"/>
        <v>0</v>
      </c>
      <c r="CR23" s="38"/>
      <c r="CS23" s="39">
        <f t="shared" si="43"/>
        <v>0</v>
      </c>
      <c r="CT23" s="38"/>
      <c r="CU23" s="39">
        <f t="shared" si="44"/>
        <v>0</v>
      </c>
      <c r="CV23" s="40"/>
      <c r="CW23" s="36"/>
      <c r="CX23" s="37">
        <f t="shared" si="45"/>
        <v>0</v>
      </c>
      <c r="CY23" s="38"/>
      <c r="CZ23" s="39">
        <f t="shared" si="46"/>
        <v>0</v>
      </c>
      <c r="DA23" s="38"/>
      <c r="DB23" s="39">
        <f t="shared" si="47"/>
        <v>0</v>
      </c>
      <c r="DC23" s="38"/>
      <c r="DD23" s="39">
        <f t="shared" si="48"/>
        <v>0</v>
      </c>
      <c r="DE23" s="38"/>
      <c r="DF23" s="39">
        <f t="shared" si="49"/>
        <v>0</v>
      </c>
      <c r="DG23" s="38"/>
      <c r="DH23" s="39">
        <f t="shared" si="50"/>
        <v>0</v>
      </c>
      <c r="DI23" s="41">
        <f t="shared" si="1"/>
        <v>1750000.0000000002</v>
      </c>
      <c r="DJ23" s="41">
        <f t="shared" si="2"/>
        <v>1750000.0000000002</v>
      </c>
      <c r="DK23" s="41">
        <f t="shared" si="51"/>
        <v>1750000.0000000002</v>
      </c>
      <c r="DL23" s="16">
        <f t="shared" si="52"/>
        <v>0</v>
      </c>
    </row>
    <row r="24" spans="1:116" x14ac:dyDescent="0.25">
      <c r="B24" s="48" t="s">
        <v>180</v>
      </c>
      <c r="C24" s="42" t="s">
        <v>36</v>
      </c>
      <c r="D24" s="53">
        <v>3294000</v>
      </c>
      <c r="E24" s="47">
        <f>$K$78</f>
        <v>-1.5206066633165829</v>
      </c>
      <c r="F24" s="34">
        <f t="shared" si="53"/>
        <v>-5008878.3489648243</v>
      </c>
      <c r="G24" s="40"/>
      <c r="H24" s="195">
        <v>-1.52</v>
      </c>
      <c r="I24" s="40"/>
      <c r="J24" s="36"/>
      <c r="K24" s="37">
        <f t="shared" si="3"/>
        <v>0</v>
      </c>
      <c r="L24" s="38"/>
      <c r="M24" s="39">
        <f t="shared" si="4"/>
        <v>0</v>
      </c>
      <c r="N24" s="38"/>
      <c r="O24" s="39">
        <f t="shared" si="5"/>
        <v>0</v>
      </c>
      <c r="P24" s="38"/>
      <c r="Q24" s="39">
        <f t="shared" si="6"/>
        <v>0</v>
      </c>
      <c r="R24" s="38"/>
      <c r="S24" s="39">
        <f t="shared" si="7"/>
        <v>0</v>
      </c>
      <c r="T24" s="38"/>
      <c r="U24" s="39">
        <f t="shared" si="8"/>
        <v>0</v>
      </c>
      <c r="V24" s="40"/>
      <c r="W24" s="36"/>
      <c r="X24" s="37">
        <f t="shared" si="9"/>
        <v>0</v>
      </c>
      <c r="Y24" s="38"/>
      <c r="Z24" s="39">
        <f t="shared" si="10"/>
        <v>0</v>
      </c>
      <c r="AA24" s="38"/>
      <c r="AB24" s="39">
        <f t="shared" si="11"/>
        <v>0</v>
      </c>
      <c r="AC24" s="38"/>
      <c r="AD24" s="39">
        <f t="shared" si="12"/>
        <v>0</v>
      </c>
      <c r="AE24" s="38"/>
      <c r="AF24" s="39">
        <f t="shared" si="13"/>
        <v>0</v>
      </c>
      <c r="AG24" s="38"/>
      <c r="AH24" s="39">
        <f t="shared" si="14"/>
        <v>0</v>
      </c>
      <c r="AI24" s="40"/>
      <c r="AJ24" s="36"/>
      <c r="AK24" s="37">
        <f t="shared" si="15"/>
        <v>0</v>
      </c>
      <c r="AL24" s="38"/>
      <c r="AM24" s="39">
        <f t="shared" si="16"/>
        <v>0</v>
      </c>
      <c r="AN24" s="38"/>
      <c r="AO24" s="39">
        <f t="shared" si="17"/>
        <v>0</v>
      </c>
      <c r="AP24" s="38"/>
      <c r="AQ24" s="39">
        <f t="shared" si="18"/>
        <v>0</v>
      </c>
      <c r="AR24" s="38"/>
      <c r="AS24" s="39">
        <f t="shared" si="19"/>
        <v>0</v>
      </c>
      <c r="AT24" s="38"/>
      <c r="AU24" s="39">
        <f t="shared" si="20"/>
        <v>0</v>
      </c>
      <c r="AV24" s="40"/>
      <c r="AW24" s="36">
        <v>0.1</v>
      </c>
      <c r="AX24" s="37">
        <f t="shared" si="21"/>
        <v>-500887.83489648247</v>
      </c>
      <c r="AY24" s="38">
        <v>1</v>
      </c>
      <c r="AZ24" s="39">
        <f t="shared" si="22"/>
        <v>-500887.83489648247</v>
      </c>
      <c r="BA24" s="38"/>
      <c r="BB24" s="39">
        <f t="shared" si="23"/>
        <v>0</v>
      </c>
      <c r="BC24" s="38"/>
      <c r="BD24" s="39">
        <f t="shared" si="24"/>
        <v>0</v>
      </c>
      <c r="BE24" s="38"/>
      <c r="BF24" s="39">
        <f t="shared" si="25"/>
        <v>0</v>
      </c>
      <c r="BG24" s="38"/>
      <c r="BH24" s="39">
        <f t="shared" si="26"/>
        <v>0</v>
      </c>
      <c r="BI24" s="40"/>
      <c r="BJ24" s="36">
        <v>0.9</v>
      </c>
      <c r="BK24" s="37">
        <f t="shared" si="27"/>
        <v>-4507990.5140683418</v>
      </c>
      <c r="BL24" s="38">
        <v>1</v>
      </c>
      <c r="BM24" s="39">
        <f t="shared" si="28"/>
        <v>-4507990.5140683418</v>
      </c>
      <c r="BN24" s="38"/>
      <c r="BO24" s="39">
        <f t="shared" si="29"/>
        <v>0</v>
      </c>
      <c r="BP24" s="38"/>
      <c r="BQ24" s="39">
        <f t="shared" si="30"/>
        <v>0</v>
      </c>
      <c r="BR24" s="38"/>
      <c r="BS24" s="39">
        <f t="shared" si="31"/>
        <v>0</v>
      </c>
      <c r="BT24" s="38"/>
      <c r="BU24" s="39">
        <f t="shared" si="32"/>
        <v>0</v>
      </c>
      <c r="BV24" s="40"/>
      <c r="BW24" s="36"/>
      <c r="BX24" s="37">
        <f t="shared" si="33"/>
        <v>0</v>
      </c>
      <c r="BY24" s="38"/>
      <c r="BZ24" s="39">
        <f t="shared" si="34"/>
        <v>0</v>
      </c>
      <c r="CA24" s="38"/>
      <c r="CB24" s="39">
        <f t="shared" si="35"/>
        <v>0</v>
      </c>
      <c r="CC24" s="38"/>
      <c r="CD24" s="39">
        <f t="shared" si="36"/>
        <v>0</v>
      </c>
      <c r="CE24" s="38"/>
      <c r="CF24" s="39">
        <f t="shared" si="37"/>
        <v>0</v>
      </c>
      <c r="CG24" s="38"/>
      <c r="CH24" s="39">
        <f t="shared" si="38"/>
        <v>0</v>
      </c>
      <c r="CI24" s="40"/>
      <c r="CJ24" s="36"/>
      <c r="CK24" s="37">
        <f t="shared" si="39"/>
        <v>0</v>
      </c>
      <c r="CL24" s="38"/>
      <c r="CM24" s="39">
        <f t="shared" si="40"/>
        <v>0</v>
      </c>
      <c r="CN24" s="38"/>
      <c r="CO24" s="39">
        <f t="shared" si="41"/>
        <v>0</v>
      </c>
      <c r="CP24" s="38"/>
      <c r="CQ24" s="39">
        <f t="shared" si="42"/>
        <v>0</v>
      </c>
      <c r="CR24" s="38"/>
      <c r="CS24" s="39">
        <f t="shared" si="43"/>
        <v>0</v>
      </c>
      <c r="CT24" s="38"/>
      <c r="CU24" s="39">
        <f t="shared" si="44"/>
        <v>0</v>
      </c>
      <c r="CV24" s="40"/>
      <c r="CW24" s="36"/>
      <c r="CX24" s="37">
        <f t="shared" si="45"/>
        <v>0</v>
      </c>
      <c r="CY24" s="38"/>
      <c r="CZ24" s="39">
        <f t="shared" si="46"/>
        <v>0</v>
      </c>
      <c r="DA24" s="38"/>
      <c r="DB24" s="39">
        <f t="shared" si="47"/>
        <v>0</v>
      </c>
      <c r="DC24" s="38"/>
      <c r="DD24" s="39">
        <f t="shared" si="48"/>
        <v>0</v>
      </c>
      <c r="DE24" s="38"/>
      <c r="DF24" s="39">
        <f t="shared" si="49"/>
        <v>0</v>
      </c>
      <c r="DG24" s="38"/>
      <c r="DH24" s="39">
        <f t="shared" si="50"/>
        <v>0</v>
      </c>
      <c r="DI24" s="41">
        <f t="shared" si="1"/>
        <v>-5008878.3489648243</v>
      </c>
      <c r="DJ24" s="41">
        <f t="shared" si="2"/>
        <v>-5008878.3489648243</v>
      </c>
      <c r="DK24" s="41">
        <f t="shared" si="51"/>
        <v>-5008878.3489648243</v>
      </c>
      <c r="DL24" s="16">
        <f t="shared" si="52"/>
        <v>0</v>
      </c>
    </row>
    <row r="25" spans="1:116" x14ac:dyDescent="0.25">
      <c r="A25" s="2"/>
      <c r="B25" s="51" t="s">
        <v>41</v>
      </c>
      <c r="C25" s="42" t="s">
        <v>33</v>
      </c>
      <c r="D25" s="53">
        <v>2093.4</v>
      </c>
      <c r="E25" s="224">
        <f>H25*$K$81</f>
        <v>66.325999999999993</v>
      </c>
      <c r="F25" s="34">
        <v>136071</v>
      </c>
      <c r="G25" s="40"/>
      <c r="H25" s="195">
        <v>65</v>
      </c>
      <c r="I25" s="40"/>
      <c r="J25" s="36"/>
      <c r="K25" s="37">
        <f t="shared" si="3"/>
        <v>0</v>
      </c>
      <c r="L25" s="38"/>
      <c r="M25" s="39">
        <f t="shared" si="4"/>
        <v>0</v>
      </c>
      <c r="N25" s="38"/>
      <c r="O25" s="39">
        <f t="shared" si="5"/>
        <v>0</v>
      </c>
      <c r="P25" s="38"/>
      <c r="Q25" s="39">
        <f t="shared" si="6"/>
        <v>0</v>
      </c>
      <c r="R25" s="38"/>
      <c r="S25" s="39">
        <f t="shared" si="7"/>
        <v>0</v>
      </c>
      <c r="T25" s="38"/>
      <c r="U25" s="39">
        <f t="shared" si="8"/>
        <v>0</v>
      </c>
      <c r="V25" s="40"/>
      <c r="W25" s="36">
        <v>0.14285714285714288</v>
      </c>
      <c r="X25" s="37">
        <f t="shared" si="9"/>
        <v>19438.71428571429</v>
      </c>
      <c r="Y25" s="38">
        <v>1</v>
      </c>
      <c r="Z25" s="39">
        <f t="shared" si="10"/>
        <v>19438.71428571429</v>
      </c>
      <c r="AA25" s="38"/>
      <c r="AB25" s="39">
        <f t="shared" si="11"/>
        <v>0</v>
      </c>
      <c r="AC25" s="38"/>
      <c r="AD25" s="39">
        <f t="shared" si="12"/>
        <v>0</v>
      </c>
      <c r="AE25" s="38"/>
      <c r="AF25" s="39">
        <f t="shared" si="13"/>
        <v>0</v>
      </c>
      <c r="AG25" s="38"/>
      <c r="AH25" s="39">
        <f t="shared" si="14"/>
        <v>0</v>
      </c>
      <c r="AI25" s="40"/>
      <c r="AJ25" s="36">
        <v>0.14285714285714288</v>
      </c>
      <c r="AK25" s="37">
        <f t="shared" si="15"/>
        <v>19438.71428571429</v>
      </c>
      <c r="AL25" s="38">
        <v>1</v>
      </c>
      <c r="AM25" s="39">
        <f t="shared" si="16"/>
        <v>19438.71428571429</v>
      </c>
      <c r="AN25" s="38"/>
      <c r="AO25" s="39">
        <f t="shared" si="17"/>
        <v>0</v>
      </c>
      <c r="AP25" s="38"/>
      <c r="AQ25" s="39">
        <f t="shared" si="18"/>
        <v>0</v>
      </c>
      <c r="AR25" s="38"/>
      <c r="AS25" s="39">
        <f t="shared" si="19"/>
        <v>0</v>
      </c>
      <c r="AT25" s="38"/>
      <c r="AU25" s="39">
        <f t="shared" si="20"/>
        <v>0</v>
      </c>
      <c r="AV25" s="40"/>
      <c r="AW25" s="36">
        <v>0.14285714285714288</v>
      </c>
      <c r="AX25" s="37">
        <f t="shared" si="21"/>
        <v>19438.71428571429</v>
      </c>
      <c r="AY25" s="38">
        <v>1</v>
      </c>
      <c r="AZ25" s="39">
        <f t="shared" si="22"/>
        <v>19438.71428571429</v>
      </c>
      <c r="BA25" s="38"/>
      <c r="BB25" s="39">
        <f t="shared" si="23"/>
        <v>0</v>
      </c>
      <c r="BC25" s="38"/>
      <c r="BD25" s="39">
        <f t="shared" si="24"/>
        <v>0</v>
      </c>
      <c r="BE25" s="38"/>
      <c r="BF25" s="39">
        <f t="shared" si="25"/>
        <v>0</v>
      </c>
      <c r="BG25" s="38"/>
      <c r="BH25" s="39">
        <f t="shared" si="26"/>
        <v>0</v>
      </c>
      <c r="BI25" s="40"/>
      <c r="BJ25" s="36">
        <v>0.14285714285714288</v>
      </c>
      <c r="BK25" s="37">
        <f t="shared" si="27"/>
        <v>19438.71428571429</v>
      </c>
      <c r="BL25" s="38">
        <v>1</v>
      </c>
      <c r="BM25" s="39">
        <f t="shared" si="28"/>
        <v>19438.71428571429</v>
      </c>
      <c r="BN25" s="52"/>
      <c r="BO25" s="39">
        <f t="shared" si="29"/>
        <v>0</v>
      </c>
      <c r="BP25" s="38"/>
      <c r="BQ25" s="39">
        <f t="shared" si="30"/>
        <v>0</v>
      </c>
      <c r="BR25" s="38"/>
      <c r="BS25" s="39">
        <f t="shared" si="31"/>
        <v>0</v>
      </c>
      <c r="BT25" s="38"/>
      <c r="BU25" s="39">
        <f t="shared" si="32"/>
        <v>0</v>
      </c>
      <c r="BV25" s="40"/>
      <c r="BW25" s="36">
        <v>0.14285714285714288</v>
      </c>
      <c r="BX25" s="37">
        <f t="shared" si="33"/>
        <v>19438.71428571429</v>
      </c>
      <c r="BY25" s="38">
        <v>1</v>
      </c>
      <c r="BZ25" s="39">
        <f t="shared" si="34"/>
        <v>19438.71428571429</v>
      </c>
      <c r="CA25" s="38"/>
      <c r="CB25" s="39">
        <f t="shared" si="35"/>
        <v>0</v>
      </c>
      <c r="CC25" s="38"/>
      <c r="CD25" s="39">
        <f t="shared" si="36"/>
        <v>0</v>
      </c>
      <c r="CE25" s="38"/>
      <c r="CF25" s="39">
        <f t="shared" si="37"/>
        <v>0</v>
      </c>
      <c r="CG25" s="38"/>
      <c r="CH25" s="39">
        <f t="shared" si="38"/>
        <v>0</v>
      </c>
      <c r="CI25" s="40"/>
      <c r="CJ25" s="36">
        <v>0.14285714285714288</v>
      </c>
      <c r="CK25" s="37">
        <f t="shared" si="39"/>
        <v>19438.71428571429</v>
      </c>
      <c r="CL25" s="38">
        <v>1</v>
      </c>
      <c r="CM25" s="39">
        <f t="shared" si="40"/>
        <v>19438.71428571429</v>
      </c>
      <c r="CN25" s="38"/>
      <c r="CO25" s="39">
        <f t="shared" si="41"/>
        <v>0</v>
      </c>
      <c r="CP25" s="38"/>
      <c r="CQ25" s="39">
        <f t="shared" si="42"/>
        <v>0</v>
      </c>
      <c r="CR25" s="38"/>
      <c r="CS25" s="39">
        <f t="shared" si="43"/>
        <v>0</v>
      </c>
      <c r="CT25" s="38"/>
      <c r="CU25" s="39">
        <f t="shared" si="44"/>
        <v>0</v>
      </c>
      <c r="CV25" s="40"/>
      <c r="CW25" s="36">
        <v>0.14285714285714288</v>
      </c>
      <c r="CX25" s="37">
        <f t="shared" si="45"/>
        <v>19438.71428571429</v>
      </c>
      <c r="CY25" s="38">
        <v>1</v>
      </c>
      <c r="CZ25" s="39">
        <f t="shared" si="46"/>
        <v>19438.71428571429</v>
      </c>
      <c r="DA25" s="38"/>
      <c r="DB25" s="39">
        <f t="shared" si="47"/>
        <v>0</v>
      </c>
      <c r="DC25" s="38"/>
      <c r="DD25" s="39">
        <f t="shared" si="48"/>
        <v>0</v>
      </c>
      <c r="DE25" s="38"/>
      <c r="DF25" s="39">
        <f t="shared" si="49"/>
        <v>0</v>
      </c>
      <c r="DG25" s="38"/>
      <c r="DH25" s="39">
        <f t="shared" si="50"/>
        <v>0</v>
      </c>
      <c r="DI25" s="41">
        <f t="shared" si="1"/>
        <v>136071</v>
      </c>
      <c r="DJ25" s="41">
        <f t="shared" si="2"/>
        <v>136071.00000000003</v>
      </c>
      <c r="DK25" s="41">
        <f t="shared" si="51"/>
        <v>136071.00000000003</v>
      </c>
      <c r="DL25" s="16">
        <f t="shared" si="52"/>
        <v>0</v>
      </c>
    </row>
    <row r="26" spans="1:116" x14ac:dyDescent="0.25">
      <c r="B26" s="121" t="s">
        <v>190</v>
      </c>
      <c r="C26" s="42" t="s">
        <v>42</v>
      </c>
      <c r="D26" s="53">
        <v>2</v>
      </c>
      <c r="E26" s="34">
        <v>550000</v>
      </c>
      <c r="F26" s="34">
        <v>1100000</v>
      </c>
      <c r="G26" s="40"/>
      <c r="H26" s="195">
        <v>550000</v>
      </c>
      <c r="I26" s="40"/>
      <c r="J26" s="36"/>
      <c r="K26" s="37">
        <f t="shared" si="3"/>
        <v>0</v>
      </c>
      <c r="L26" s="38"/>
      <c r="M26" s="39">
        <f t="shared" si="4"/>
        <v>0</v>
      </c>
      <c r="N26" s="38"/>
      <c r="O26" s="39">
        <f t="shared" si="5"/>
        <v>0</v>
      </c>
      <c r="P26" s="38"/>
      <c r="Q26" s="39">
        <f t="shared" si="6"/>
        <v>0</v>
      </c>
      <c r="R26" s="38"/>
      <c r="S26" s="39">
        <f t="shared" si="7"/>
        <v>0</v>
      </c>
      <c r="T26" s="38"/>
      <c r="U26" s="39">
        <f t="shared" si="8"/>
        <v>0</v>
      </c>
      <c r="V26" s="40"/>
      <c r="W26" s="36"/>
      <c r="X26" s="37">
        <f t="shared" si="9"/>
        <v>0</v>
      </c>
      <c r="Y26" s="38"/>
      <c r="Z26" s="39">
        <f t="shared" si="10"/>
        <v>0</v>
      </c>
      <c r="AA26" s="38"/>
      <c r="AB26" s="39">
        <f t="shared" si="11"/>
        <v>0</v>
      </c>
      <c r="AC26" s="38"/>
      <c r="AD26" s="39">
        <f t="shared" si="12"/>
        <v>0</v>
      </c>
      <c r="AE26" s="38"/>
      <c r="AF26" s="39">
        <f t="shared" si="13"/>
        <v>0</v>
      </c>
      <c r="AG26" s="38"/>
      <c r="AH26" s="39">
        <f t="shared" si="14"/>
        <v>0</v>
      </c>
      <c r="AI26" s="40"/>
      <c r="AJ26" s="36">
        <v>0.8</v>
      </c>
      <c r="AK26" s="37">
        <f t="shared" si="15"/>
        <v>880000</v>
      </c>
      <c r="AL26" s="38">
        <v>1</v>
      </c>
      <c r="AM26" s="39">
        <f t="shared" si="16"/>
        <v>880000</v>
      </c>
      <c r="AN26" s="38"/>
      <c r="AO26" s="39">
        <f t="shared" si="17"/>
        <v>0</v>
      </c>
      <c r="AP26" s="38"/>
      <c r="AQ26" s="39">
        <f t="shared" si="18"/>
        <v>0</v>
      </c>
      <c r="AR26" s="38"/>
      <c r="AS26" s="39">
        <f t="shared" si="19"/>
        <v>0</v>
      </c>
      <c r="AT26" s="38"/>
      <c r="AU26" s="39">
        <f t="shared" si="20"/>
        <v>0</v>
      </c>
      <c r="AV26" s="40"/>
      <c r="AW26" s="36">
        <v>0.2</v>
      </c>
      <c r="AX26" s="37">
        <f t="shared" si="21"/>
        <v>220000</v>
      </c>
      <c r="AY26" s="38">
        <v>1</v>
      </c>
      <c r="AZ26" s="39">
        <f t="shared" si="22"/>
        <v>220000</v>
      </c>
      <c r="BA26" s="38"/>
      <c r="BB26" s="39">
        <f t="shared" si="23"/>
        <v>0</v>
      </c>
      <c r="BC26" s="38"/>
      <c r="BD26" s="39">
        <f t="shared" si="24"/>
        <v>0</v>
      </c>
      <c r="BE26" s="38"/>
      <c r="BF26" s="39">
        <f t="shared" si="25"/>
        <v>0</v>
      </c>
      <c r="BG26" s="38"/>
      <c r="BH26" s="39">
        <f t="shared" si="26"/>
        <v>0</v>
      </c>
      <c r="BI26" s="40"/>
      <c r="BJ26" s="36"/>
      <c r="BK26" s="37">
        <f t="shared" si="27"/>
        <v>0</v>
      </c>
      <c r="BL26" s="38"/>
      <c r="BM26" s="39">
        <f t="shared" si="28"/>
        <v>0</v>
      </c>
      <c r="BN26" s="38"/>
      <c r="BO26" s="39">
        <f t="shared" si="29"/>
        <v>0</v>
      </c>
      <c r="BP26" s="38"/>
      <c r="BQ26" s="39">
        <f t="shared" si="30"/>
        <v>0</v>
      </c>
      <c r="BR26" s="38"/>
      <c r="BS26" s="39">
        <f t="shared" si="31"/>
        <v>0</v>
      </c>
      <c r="BT26" s="38"/>
      <c r="BU26" s="39">
        <f t="shared" si="32"/>
        <v>0</v>
      </c>
      <c r="BV26" s="40"/>
      <c r="BW26" s="36"/>
      <c r="BX26" s="37">
        <f t="shared" si="33"/>
        <v>0</v>
      </c>
      <c r="BY26" s="38"/>
      <c r="BZ26" s="39">
        <f t="shared" si="34"/>
        <v>0</v>
      </c>
      <c r="CA26" s="38"/>
      <c r="CB26" s="39">
        <f t="shared" si="35"/>
        <v>0</v>
      </c>
      <c r="CC26" s="38"/>
      <c r="CD26" s="39">
        <f t="shared" si="36"/>
        <v>0</v>
      </c>
      <c r="CE26" s="38"/>
      <c r="CF26" s="39">
        <f t="shared" si="37"/>
        <v>0</v>
      </c>
      <c r="CG26" s="38"/>
      <c r="CH26" s="39">
        <f t="shared" si="38"/>
        <v>0</v>
      </c>
      <c r="CI26" s="40"/>
      <c r="CJ26" s="36"/>
      <c r="CK26" s="37">
        <f t="shared" si="39"/>
        <v>0</v>
      </c>
      <c r="CL26" s="38"/>
      <c r="CM26" s="39">
        <f t="shared" si="40"/>
        <v>0</v>
      </c>
      <c r="CN26" s="38"/>
      <c r="CO26" s="39">
        <f t="shared" si="41"/>
        <v>0</v>
      </c>
      <c r="CP26" s="38"/>
      <c r="CQ26" s="39">
        <f t="shared" si="42"/>
        <v>0</v>
      </c>
      <c r="CR26" s="38"/>
      <c r="CS26" s="39">
        <f t="shared" si="43"/>
        <v>0</v>
      </c>
      <c r="CT26" s="38"/>
      <c r="CU26" s="39">
        <f t="shared" si="44"/>
        <v>0</v>
      </c>
      <c r="CV26" s="40"/>
      <c r="CW26" s="36"/>
      <c r="CX26" s="37">
        <f t="shared" si="45"/>
        <v>0</v>
      </c>
      <c r="CY26" s="38"/>
      <c r="CZ26" s="39">
        <f t="shared" si="46"/>
        <v>0</v>
      </c>
      <c r="DA26" s="38"/>
      <c r="DB26" s="39">
        <f t="shared" si="47"/>
        <v>0</v>
      </c>
      <c r="DC26" s="38"/>
      <c r="DD26" s="39">
        <f t="shared" si="48"/>
        <v>0</v>
      </c>
      <c r="DE26" s="38"/>
      <c r="DF26" s="39">
        <f t="shared" si="49"/>
        <v>0</v>
      </c>
      <c r="DG26" s="38"/>
      <c r="DH26" s="39">
        <f t="shared" si="50"/>
        <v>0</v>
      </c>
      <c r="DI26" s="41">
        <f t="shared" si="1"/>
        <v>1100000</v>
      </c>
      <c r="DJ26" s="41">
        <f t="shared" si="2"/>
        <v>1100000</v>
      </c>
      <c r="DK26" s="41">
        <f t="shared" si="51"/>
        <v>1100000</v>
      </c>
      <c r="DL26" s="16">
        <f t="shared" si="52"/>
        <v>0</v>
      </c>
    </row>
    <row r="27" spans="1:116" x14ac:dyDescent="0.25">
      <c r="B27" s="48" t="s">
        <v>191</v>
      </c>
      <c r="C27" s="125" t="s">
        <v>42</v>
      </c>
      <c r="D27" s="53">
        <v>4</v>
      </c>
      <c r="E27" s="34">
        <v>1650000</v>
      </c>
      <c r="F27" s="34">
        <v>6600000</v>
      </c>
      <c r="G27" s="40"/>
      <c r="H27" s="195">
        <v>1650000</v>
      </c>
      <c r="I27" s="40"/>
      <c r="J27" s="36"/>
      <c r="K27" s="37"/>
      <c r="L27" s="38"/>
      <c r="M27" s="39"/>
      <c r="N27" s="38"/>
      <c r="O27" s="39"/>
      <c r="P27" s="38"/>
      <c r="Q27" s="39"/>
      <c r="R27" s="38"/>
      <c r="S27" s="39"/>
      <c r="T27" s="38"/>
      <c r="U27" s="39"/>
      <c r="V27" s="40"/>
      <c r="W27" s="36"/>
      <c r="X27" s="37"/>
      <c r="Y27" s="38"/>
      <c r="Z27" s="39"/>
      <c r="AA27" s="38"/>
      <c r="AB27" s="39"/>
      <c r="AC27" s="38"/>
      <c r="AD27" s="39"/>
      <c r="AE27" s="38"/>
      <c r="AF27" s="39"/>
      <c r="AG27" s="38"/>
      <c r="AH27" s="39"/>
      <c r="AI27" s="40"/>
      <c r="AJ27" s="36"/>
      <c r="AK27" s="37"/>
      <c r="AL27" s="38"/>
      <c r="AM27" s="39"/>
      <c r="AN27" s="38"/>
      <c r="AO27" s="39"/>
      <c r="AP27" s="38"/>
      <c r="AQ27" s="39"/>
      <c r="AR27" s="38"/>
      <c r="AS27" s="39"/>
      <c r="AT27" s="38"/>
      <c r="AU27" s="39"/>
      <c r="AV27" s="40"/>
      <c r="AW27" s="36"/>
      <c r="AX27" s="37"/>
      <c r="AY27" s="38"/>
      <c r="AZ27" s="39"/>
      <c r="BA27" s="38"/>
      <c r="BB27" s="39"/>
      <c r="BC27" s="38"/>
      <c r="BD27" s="39"/>
      <c r="BE27" s="38"/>
      <c r="BF27" s="39"/>
      <c r="BG27" s="38"/>
      <c r="BH27" s="39"/>
      <c r="BI27" s="40"/>
      <c r="BJ27" s="36"/>
      <c r="BK27" s="37"/>
      <c r="BL27" s="38"/>
      <c r="BM27" s="39"/>
      <c r="BN27" s="38"/>
      <c r="BO27" s="39"/>
      <c r="BP27" s="38"/>
      <c r="BQ27" s="39"/>
      <c r="BR27" s="38"/>
      <c r="BS27" s="39"/>
      <c r="BT27" s="38"/>
      <c r="BU27" s="39"/>
      <c r="BV27" s="40"/>
      <c r="BW27" s="36"/>
      <c r="BX27" s="37"/>
      <c r="BY27" s="38"/>
      <c r="BZ27" s="39"/>
      <c r="CA27" s="38"/>
      <c r="CB27" s="39"/>
      <c r="CC27" s="38"/>
      <c r="CD27" s="39"/>
      <c r="CE27" s="38"/>
      <c r="CF27" s="39"/>
      <c r="CG27" s="38"/>
      <c r="CH27" s="39"/>
      <c r="CI27" s="40"/>
      <c r="CJ27" s="36"/>
      <c r="CK27" s="37"/>
      <c r="CL27" s="38"/>
      <c r="CM27" s="39"/>
      <c r="CN27" s="38"/>
      <c r="CO27" s="39"/>
      <c r="CP27" s="38"/>
      <c r="CQ27" s="39"/>
      <c r="CR27" s="38"/>
      <c r="CS27" s="39"/>
      <c r="CT27" s="38"/>
      <c r="CU27" s="39"/>
      <c r="CV27" s="40"/>
      <c r="CW27" s="36"/>
      <c r="CX27" s="37"/>
      <c r="CY27" s="38"/>
      <c r="CZ27" s="39"/>
      <c r="DA27" s="38"/>
      <c r="DB27" s="39"/>
      <c r="DC27" s="38"/>
      <c r="DD27" s="39"/>
      <c r="DE27" s="38"/>
      <c r="DF27" s="39"/>
      <c r="DG27" s="38"/>
      <c r="DH27" s="39"/>
      <c r="DI27" s="41"/>
      <c r="DJ27" s="41"/>
      <c r="DK27" s="41"/>
      <c r="DL27" s="16"/>
    </row>
    <row r="28" spans="1:116" x14ac:dyDescent="0.25">
      <c r="B28" s="48" t="s">
        <v>43</v>
      </c>
      <c r="C28" s="42" t="s">
        <v>33</v>
      </c>
      <c r="D28" s="53">
        <v>18000</v>
      </c>
      <c r="E28" s="224">
        <f>H28*$K$81</f>
        <v>15.305999999999999</v>
      </c>
      <c r="F28" s="34">
        <v>270000</v>
      </c>
      <c r="G28" s="40"/>
      <c r="H28" s="195">
        <v>15</v>
      </c>
      <c r="I28" s="40"/>
      <c r="J28" s="36"/>
      <c r="K28" s="37">
        <f t="shared" si="3"/>
        <v>0</v>
      </c>
      <c r="L28" s="38"/>
      <c r="M28" s="39">
        <f t="shared" si="4"/>
        <v>0</v>
      </c>
      <c r="N28" s="38"/>
      <c r="O28" s="39">
        <f t="shared" si="5"/>
        <v>0</v>
      </c>
      <c r="P28" s="38"/>
      <c r="Q28" s="39">
        <f t="shared" si="6"/>
        <v>0</v>
      </c>
      <c r="R28" s="38"/>
      <c r="S28" s="39">
        <f t="shared" si="7"/>
        <v>0</v>
      </c>
      <c r="T28" s="38"/>
      <c r="U28" s="39">
        <f t="shared" si="8"/>
        <v>0</v>
      </c>
      <c r="V28" s="40"/>
      <c r="W28" s="36">
        <v>1</v>
      </c>
      <c r="X28" s="37">
        <f t="shared" si="9"/>
        <v>270000</v>
      </c>
      <c r="Y28" s="38">
        <v>1</v>
      </c>
      <c r="Z28" s="39">
        <f t="shared" si="10"/>
        <v>270000</v>
      </c>
      <c r="AA28" s="38"/>
      <c r="AB28" s="39">
        <f t="shared" si="11"/>
        <v>0</v>
      </c>
      <c r="AC28" s="38"/>
      <c r="AD28" s="39">
        <f t="shared" si="12"/>
        <v>0</v>
      </c>
      <c r="AE28" s="38"/>
      <c r="AF28" s="39">
        <f t="shared" si="13"/>
        <v>0</v>
      </c>
      <c r="AG28" s="38"/>
      <c r="AH28" s="39">
        <f t="shared" si="14"/>
        <v>0</v>
      </c>
      <c r="AI28" s="40"/>
      <c r="AJ28" s="36"/>
      <c r="AK28" s="37">
        <f t="shared" si="15"/>
        <v>0</v>
      </c>
      <c r="AL28" s="38"/>
      <c r="AM28" s="39">
        <f t="shared" si="16"/>
        <v>0</v>
      </c>
      <c r="AN28" s="38"/>
      <c r="AO28" s="39">
        <f t="shared" si="17"/>
        <v>0</v>
      </c>
      <c r="AP28" s="38"/>
      <c r="AQ28" s="39">
        <f t="shared" si="18"/>
        <v>0</v>
      </c>
      <c r="AR28" s="38"/>
      <c r="AS28" s="39">
        <f t="shared" si="19"/>
        <v>0</v>
      </c>
      <c r="AT28" s="38"/>
      <c r="AU28" s="39">
        <f t="shared" si="20"/>
        <v>0</v>
      </c>
      <c r="AV28" s="40"/>
      <c r="AW28" s="36"/>
      <c r="AX28" s="37">
        <f t="shared" si="21"/>
        <v>0</v>
      </c>
      <c r="AY28" s="38"/>
      <c r="AZ28" s="39">
        <f t="shared" si="22"/>
        <v>0</v>
      </c>
      <c r="BA28" s="38"/>
      <c r="BB28" s="39">
        <f t="shared" si="23"/>
        <v>0</v>
      </c>
      <c r="BC28" s="38"/>
      <c r="BD28" s="39">
        <f t="shared" si="24"/>
        <v>0</v>
      </c>
      <c r="BE28" s="38"/>
      <c r="BF28" s="39">
        <f t="shared" si="25"/>
        <v>0</v>
      </c>
      <c r="BG28" s="38"/>
      <c r="BH28" s="39">
        <f t="shared" si="26"/>
        <v>0</v>
      </c>
      <c r="BI28" s="40"/>
      <c r="BJ28" s="36"/>
      <c r="BK28" s="37">
        <f t="shared" si="27"/>
        <v>0</v>
      </c>
      <c r="BL28" s="38"/>
      <c r="BM28" s="39">
        <f t="shared" si="28"/>
        <v>0</v>
      </c>
      <c r="BN28" s="38"/>
      <c r="BO28" s="39">
        <f t="shared" si="29"/>
        <v>0</v>
      </c>
      <c r="BP28" s="38"/>
      <c r="BQ28" s="39">
        <f t="shared" si="30"/>
        <v>0</v>
      </c>
      <c r="BR28" s="38"/>
      <c r="BS28" s="39">
        <f t="shared" si="31"/>
        <v>0</v>
      </c>
      <c r="BT28" s="38"/>
      <c r="BU28" s="39">
        <f t="shared" si="32"/>
        <v>0</v>
      </c>
      <c r="BV28" s="40"/>
      <c r="BW28" s="36"/>
      <c r="BX28" s="37">
        <f t="shared" si="33"/>
        <v>0</v>
      </c>
      <c r="BY28" s="38"/>
      <c r="BZ28" s="39">
        <f t="shared" si="34"/>
        <v>0</v>
      </c>
      <c r="CA28" s="38"/>
      <c r="CB28" s="39">
        <f t="shared" si="35"/>
        <v>0</v>
      </c>
      <c r="CC28" s="38"/>
      <c r="CD28" s="39">
        <f t="shared" si="36"/>
        <v>0</v>
      </c>
      <c r="CE28" s="38"/>
      <c r="CF28" s="39">
        <f t="shared" si="37"/>
        <v>0</v>
      </c>
      <c r="CG28" s="38"/>
      <c r="CH28" s="39">
        <f t="shared" si="38"/>
        <v>0</v>
      </c>
      <c r="CI28" s="40"/>
      <c r="CJ28" s="36"/>
      <c r="CK28" s="37">
        <f t="shared" si="39"/>
        <v>0</v>
      </c>
      <c r="CL28" s="38"/>
      <c r="CM28" s="39">
        <f t="shared" si="40"/>
        <v>0</v>
      </c>
      <c r="CN28" s="38"/>
      <c r="CO28" s="39">
        <f t="shared" si="41"/>
        <v>0</v>
      </c>
      <c r="CP28" s="38"/>
      <c r="CQ28" s="39">
        <f t="shared" si="42"/>
        <v>0</v>
      </c>
      <c r="CR28" s="38"/>
      <c r="CS28" s="39">
        <f t="shared" si="43"/>
        <v>0</v>
      </c>
      <c r="CT28" s="38"/>
      <c r="CU28" s="39">
        <f t="shared" si="44"/>
        <v>0</v>
      </c>
      <c r="CV28" s="40"/>
      <c r="CW28" s="36"/>
      <c r="CX28" s="37">
        <f t="shared" si="45"/>
        <v>0</v>
      </c>
      <c r="CY28" s="38"/>
      <c r="CZ28" s="39">
        <f t="shared" si="46"/>
        <v>0</v>
      </c>
      <c r="DA28" s="38"/>
      <c r="DB28" s="39">
        <f t="shared" si="47"/>
        <v>0</v>
      </c>
      <c r="DC28" s="38"/>
      <c r="DD28" s="39">
        <f t="shared" si="48"/>
        <v>0</v>
      </c>
      <c r="DE28" s="38"/>
      <c r="DF28" s="39">
        <f t="shared" si="49"/>
        <v>0</v>
      </c>
      <c r="DG28" s="38"/>
      <c r="DH28" s="39">
        <f t="shared" si="50"/>
        <v>0</v>
      </c>
      <c r="DI28" s="41">
        <f>F28</f>
        <v>270000</v>
      </c>
      <c r="DJ28" s="41">
        <f t="shared" si="2"/>
        <v>270000</v>
      </c>
      <c r="DK28" s="41">
        <f t="shared" si="51"/>
        <v>270000</v>
      </c>
      <c r="DL28" s="16">
        <f t="shared" si="52"/>
        <v>0</v>
      </c>
    </row>
    <row r="29" spans="1:116" x14ac:dyDescent="0.25">
      <c r="B29" s="46" t="s">
        <v>164</v>
      </c>
      <c r="C29" s="42" t="s">
        <v>33</v>
      </c>
      <c r="D29" s="53">
        <v>2864.377</v>
      </c>
      <c r="E29" s="34">
        <f>E18</f>
        <v>255.1</v>
      </c>
      <c r="F29" s="34">
        <f>D29*E29</f>
        <v>730702.57270000002</v>
      </c>
      <c r="G29" s="40"/>
      <c r="H29" s="195">
        <v>250</v>
      </c>
      <c r="I29" s="40"/>
      <c r="J29" s="36"/>
      <c r="K29" s="37"/>
      <c r="L29" s="38"/>
      <c r="M29" s="39"/>
      <c r="N29" s="38"/>
      <c r="O29" s="39"/>
      <c r="P29" s="38"/>
      <c r="Q29" s="39"/>
      <c r="R29" s="38"/>
      <c r="S29" s="39"/>
      <c r="T29" s="38"/>
      <c r="U29" s="39"/>
      <c r="V29" s="40"/>
      <c r="W29" s="36"/>
      <c r="X29" s="37"/>
      <c r="Y29" s="38"/>
      <c r="Z29" s="39"/>
      <c r="AA29" s="38"/>
      <c r="AB29" s="39"/>
      <c r="AC29" s="38"/>
      <c r="AD29" s="39"/>
      <c r="AE29" s="38"/>
      <c r="AF29" s="39"/>
      <c r="AG29" s="38"/>
      <c r="AH29" s="39"/>
      <c r="AI29" s="40"/>
      <c r="AJ29" s="36"/>
      <c r="AK29" s="37"/>
      <c r="AL29" s="38"/>
      <c r="AM29" s="39"/>
      <c r="AN29" s="38"/>
      <c r="AO29" s="39"/>
      <c r="AP29" s="38"/>
      <c r="AQ29" s="39"/>
      <c r="AR29" s="38"/>
      <c r="AS29" s="39"/>
      <c r="AT29" s="38"/>
      <c r="AU29" s="39"/>
      <c r="AV29" s="40"/>
      <c r="AW29" s="36"/>
      <c r="AX29" s="37"/>
      <c r="AY29" s="38"/>
      <c r="AZ29" s="39"/>
      <c r="BA29" s="38"/>
      <c r="BB29" s="39"/>
      <c r="BC29" s="38"/>
      <c r="BD29" s="39"/>
      <c r="BE29" s="38"/>
      <c r="BF29" s="39"/>
      <c r="BG29" s="38"/>
      <c r="BH29" s="39"/>
      <c r="BI29" s="40"/>
      <c r="BJ29" s="36"/>
      <c r="BK29" s="37"/>
      <c r="BL29" s="38"/>
      <c r="BM29" s="39"/>
      <c r="BN29" s="38"/>
      <c r="BO29" s="39"/>
      <c r="BP29" s="38"/>
      <c r="BQ29" s="39"/>
      <c r="BR29" s="38"/>
      <c r="BS29" s="39"/>
      <c r="BT29" s="38"/>
      <c r="BU29" s="39"/>
      <c r="BV29" s="40"/>
      <c r="BW29" s="36"/>
      <c r="BX29" s="37"/>
      <c r="BY29" s="38"/>
      <c r="BZ29" s="39"/>
      <c r="CA29" s="38"/>
      <c r="CB29" s="39"/>
      <c r="CC29" s="38"/>
      <c r="CD29" s="39"/>
      <c r="CE29" s="38"/>
      <c r="CF29" s="39"/>
      <c r="CG29" s="38"/>
      <c r="CH29" s="39"/>
      <c r="CI29" s="40"/>
      <c r="CJ29" s="36"/>
      <c r="CK29" s="37"/>
      <c r="CL29" s="38"/>
      <c r="CM29" s="39"/>
      <c r="CN29" s="38"/>
      <c r="CO29" s="39"/>
      <c r="CP29" s="38"/>
      <c r="CQ29" s="39"/>
      <c r="CR29" s="38"/>
      <c r="CS29" s="39"/>
      <c r="CT29" s="38"/>
      <c r="CU29" s="39"/>
      <c r="CV29" s="40"/>
      <c r="CW29" s="36"/>
      <c r="CX29" s="37"/>
      <c r="CY29" s="38"/>
      <c r="CZ29" s="39"/>
      <c r="DA29" s="38"/>
      <c r="DB29" s="39"/>
      <c r="DC29" s="38"/>
      <c r="DD29" s="39"/>
      <c r="DE29" s="38"/>
      <c r="DF29" s="39"/>
      <c r="DG29" s="38"/>
      <c r="DH29" s="39"/>
      <c r="DI29" s="41"/>
      <c r="DJ29" s="41"/>
      <c r="DK29" s="41"/>
      <c r="DL29" s="16"/>
    </row>
    <row r="30" spans="1:116" x14ac:dyDescent="0.25">
      <c r="B30" s="113" t="s">
        <v>144</v>
      </c>
      <c r="C30" s="114" t="s">
        <v>36</v>
      </c>
      <c r="D30" s="122">
        <v>3566960.0377358487</v>
      </c>
      <c r="E30" s="123">
        <f>E21</f>
        <v>-0.31414430979039298</v>
      </c>
      <c r="F30" s="34">
        <f t="shared" ref="F30" si="54">D30*E30</f>
        <v>-1120540.1991044423</v>
      </c>
      <c r="G30" s="40"/>
      <c r="H30" s="195">
        <v>-0.37</v>
      </c>
      <c r="I30" s="40"/>
      <c r="J30" s="36"/>
      <c r="K30" s="37">
        <f t="shared" si="3"/>
        <v>0</v>
      </c>
      <c r="L30" s="38"/>
      <c r="M30" s="39">
        <f t="shared" si="4"/>
        <v>0</v>
      </c>
      <c r="N30" s="38"/>
      <c r="O30" s="39">
        <f t="shared" si="5"/>
        <v>0</v>
      </c>
      <c r="P30" s="38"/>
      <c r="Q30" s="39">
        <f t="shared" si="6"/>
        <v>0</v>
      </c>
      <c r="R30" s="38"/>
      <c r="S30" s="39">
        <f t="shared" si="7"/>
        <v>0</v>
      </c>
      <c r="T30" s="38"/>
      <c r="U30" s="39">
        <f t="shared" si="8"/>
        <v>0</v>
      </c>
      <c r="V30" s="40"/>
      <c r="W30" s="36"/>
      <c r="X30" s="37">
        <f t="shared" si="9"/>
        <v>0</v>
      </c>
      <c r="Y30" s="38"/>
      <c r="Z30" s="39">
        <f t="shared" si="10"/>
        <v>0</v>
      </c>
      <c r="AA30" s="38"/>
      <c r="AB30" s="39">
        <f t="shared" si="11"/>
        <v>0</v>
      </c>
      <c r="AC30" s="38"/>
      <c r="AD30" s="39">
        <f t="shared" si="12"/>
        <v>0</v>
      </c>
      <c r="AE30" s="38"/>
      <c r="AF30" s="39">
        <f t="shared" si="13"/>
        <v>0</v>
      </c>
      <c r="AG30" s="38"/>
      <c r="AH30" s="39">
        <f t="shared" si="14"/>
        <v>0</v>
      </c>
      <c r="AI30" s="40"/>
      <c r="AJ30" s="36"/>
      <c r="AK30" s="37">
        <f t="shared" si="15"/>
        <v>0</v>
      </c>
      <c r="AL30" s="38"/>
      <c r="AM30" s="39">
        <f t="shared" si="16"/>
        <v>0</v>
      </c>
      <c r="AN30" s="38"/>
      <c r="AO30" s="39">
        <f t="shared" si="17"/>
        <v>0</v>
      </c>
      <c r="AP30" s="38"/>
      <c r="AQ30" s="39">
        <f t="shared" si="18"/>
        <v>0</v>
      </c>
      <c r="AR30" s="38"/>
      <c r="AS30" s="39">
        <f t="shared" si="19"/>
        <v>0</v>
      </c>
      <c r="AT30" s="38"/>
      <c r="AU30" s="39">
        <f t="shared" si="20"/>
        <v>0</v>
      </c>
      <c r="AV30" s="40"/>
      <c r="AW30" s="36"/>
      <c r="AX30" s="37">
        <f t="shared" si="21"/>
        <v>0</v>
      </c>
      <c r="AY30" s="38"/>
      <c r="AZ30" s="39">
        <f t="shared" si="22"/>
        <v>0</v>
      </c>
      <c r="BA30" s="38"/>
      <c r="BB30" s="39">
        <f t="shared" si="23"/>
        <v>0</v>
      </c>
      <c r="BC30" s="38"/>
      <c r="BD30" s="39">
        <f t="shared" si="24"/>
        <v>0</v>
      </c>
      <c r="BE30" s="38"/>
      <c r="BF30" s="39">
        <f t="shared" si="25"/>
        <v>0</v>
      </c>
      <c r="BG30" s="38"/>
      <c r="BH30" s="39">
        <f t="shared" si="26"/>
        <v>0</v>
      </c>
      <c r="BI30" s="40"/>
      <c r="BJ30" s="36"/>
      <c r="BK30" s="37">
        <f t="shared" si="27"/>
        <v>0</v>
      </c>
      <c r="BL30" s="38"/>
      <c r="BM30" s="39">
        <f t="shared" si="28"/>
        <v>0</v>
      </c>
      <c r="BN30" s="38"/>
      <c r="BO30" s="39">
        <f t="shared" si="29"/>
        <v>0</v>
      </c>
      <c r="BP30" s="38"/>
      <c r="BQ30" s="39">
        <f t="shared" si="30"/>
        <v>0</v>
      </c>
      <c r="BR30" s="38"/>
      <c r="BS30" s="39">
        <f t="shared" si="31"/>
        <v>0</v>
      </c>
      <c r="BT30" s="38"/>
      <c r="BU30" s="39">
        <f t="shared" si="32"/>
        <v>0</v>
      </c>
      <c r="BV30" s="40"/>
      <c r="BW30" s="36">
        <v>1</v>
      </c>
      <c r="BX30" s="37">
        <f t="shared" si="33"/>
        <v>-1120540.1991044423</v>
      </c>
      <c r="BY30" s="38">
        <v>1</v>
      </c>
      <c r="BZ30" s="39">
        <f t="shared" si="34"/>
        <v>-1120540.1991044423</v>
      </c>
      <c r="CA30" s="38"/>
      <c r="CB30" s="39">
        <f t="shared" si="35"/>
        <v>0</v>
      </c>
      <c r="CC30" s="38"/>
      <c r="CD30" s="39">
        <f t="shared" si="36"/>
        <v>0</v>
      </c>
      <c r="CE30" s="38"/>
      <c r="CF30" s="39">
        <f t="shared" si="37"/>
        <v>0</v>
      </c>
      <c r="CG30" s="38"/>
      <c r="CH30" s="39">
        <f t="shared" si="38"/>
        <v>0</v>
      </c>
      <c r="CI30" s="40"/>
      <c r="CJ30" s="36"/>
      <c r="CK30" s="37">
        <f t="shared" si="39"/>
        <v>0</v>
      </c>
      <c r="CL30" s="38"/>
      <c r="CM30" s="39">
        <f t="shared" si="40"/>
        <v>0</v>
      </c>
      <c r="CN30" s="38"/>
      <c r="CO30" s="39">
        <f t="shared" si="41"/>
        <v>0</v>
      </c>
      <c r="CP30" s="38"/>
      <c r="CQ30" s="39">
        <f t="shared" si="42"/>
        <v>0</v>
      </c>
      <c r="CR30" s="38"/>
      <c r="CS30" s="39">
        <f t="shared" si="43"/>
        <v>0</v>
      </c>
      <c r="CT30" s="38"/>
      <c r="CU30" s="39">
        <f t="shared" si="44"/>
        <v>0</v>
      </c>
      <c r="CV30" s="40"/>
      <c r="CW30" s="36"/>
      <c r="CX30" s="37">
        <f t="shared" si="45"/>
        <v>0</v>
      </c>
      <c r="CY30" s="38"/>
      <c r="CZ30" s="39">
        <f t="shared" si="46"/>
        <v>0</v>
      </c>
      <c r="DA30" s="38"/>
      <c r="DB30" s="39">
        <f>DA30*CX30</f>
        <v>0</v>
      </c>
      <c r="DC30" s="38"/>
      <c r="DD30" s="39">
        <f t="shared" si="48"/>
        <v>0</v>
      </c>
      <c r="DE30" s="38"/>
      <c r="DF30" s="39">
        <f t="shared" si="49"/>
        <v>0</v>
      </c>
      <c r="DG30" s="38"/>
      <c r="DH30" s="39">
        <f t="shared" si="50"/>
        <v>0</v>
      </c>
      <c r="DI30" s="41">
        <f>F30</f>
        <v>-1120540.1991044423</v>
      </c>
      <c r="DJ30" s="41">
        <f t="shared" si="2"/>
        <v>-1120540.1991044423</v>
      </c>
      <c r="DK30" s="41">
        <f t="shared" si="51"/>
        <v>-1120540.1991044423</v>
      </c>
      <c r="DL30" s="16">
        <f t="shared" si="52"/>
        <v>0</v>
      </c>
    </row>
    <row r="31" spans="1:116" x14ac:dyDescent="0.25">
      <c r="B31" s="113" t="s">
        <v>131</v>
      </c>
      <c r="C31" s="114" t="s">
        <v>33</v>
      </c>
      <c r="D31" s="122">
        <f>D29</f>
        <v>2864.377</v>
      </c>
      <c r="E31" s="94">
        <f>E19</f>
        <v>-108.3695731319762</v>
      </c>
      <c r="F31" s="34">
        <f>D31*E31</f>
        <v>-310411.31277905055</v>
      </c>
      <c r="G31" s="40"/>
      <c r="H31" s="195">
        <v>-123.79</v>
      </c>
      <c r="I31" s="40"/>
      <c r="J31" s="36"/>
      <c r="K31" s="37"/>
      <c r="L31" s="38"/>
      <c r="M31" s="39"/>
      <c r="N31" s="38"/>
      <c r="O31" s="39"/>
      <c r="P31" s="38"/>
      <c r="Q31" s="39"/>
      <c r="R31" s="38"/>
      <c r="S31" s="39"/>
      <c r="T31" s="38"/>
      <c r="U31" s="39"/>
      <c r="V31" s="40"/>
      <c r="W31" s="36"/>
      <c r="X31" s="37"/>
      <c r="Y31" s="38"/>
      <c r="Z31" s="39"/>
      <c r="AA31" s="38"/>
      <c r="AB31" s="39"/>
      <c r="AC31" s="38"/>
      <c r="AD31" s="39"/>
      <c r="AE31" s="38"/>
      <c r="AF31" s="39"/>
      <c r="AG31" s="38"/>
      <c r="AH31" s="39"/>
      <c r="AI31" s="40"/>
      <c r="AJ31" s="36"/>
      <c r="AK31" s="37"/>
      <c r="AL31" s="38"/>
      <c r="AM31" s="39"/>
      <c r="AN31" s="38"/>
      <c r="AO31" s="39"/>
      <c r="AP31" s="38"/>
      <c r="AQ31" s="39"/>
      <c r="AR31" s="38"/>
      <c r="AS31" s="39"/>
      <c r="AT31" s="38"/>
      <c r="AU31" s="39"/>
      <c r="AV31" s="40"/>
      <c r="AW31" s="36"/>
      <c r="AX31" s="37"/>
      <c r="AY31" s="38"/>
      <c r="AZ31" s="39"/>
      <c r="BA31" s="38"/>
      <c r="BB31" s="39"/>
      <c r="BC31" s="38"/>
      <c r="BD31" s="39"/>
      <c r="BE31" s="38"/>
      <c r="BF31" s="39"/>
      <c r="BG31" s="38"/>
      <c r="BH31" s="39"/>
      <c r="BI31" s="40"/>
      <c r="BJ31" s="36"/>
      <c r="BK31" s="37"/>
      <c r="BL31" s="38"/>
      <c r="BM31" s="39"/>
      <c r="BN31" s="38"/>
      <c r="BO31" s="39"/>
      <c r="BP31" s="38"/>
      <c r="BQ31" s="39"/>
      <c r="BR31" s="38"/>
      <c r="BS31" s="39"/>
      <c r="BT31" s="38"/>
      <c r="BU31" s="39"/>
      <c r="BV31" s="40"/>
      <c r="BW31" s="36"/>
      <c r="BX31" s="37"/>
      <c r="BY31" s="38"/>
      <c r="BZ31" s="39"/>
      <c r="CA31" s="38"/>
      <c r="CB31" s="39"/>
      <c r="CC31" s="38"/>
      <c r="CD31" s="39"/>
      <c r="CE31" s="38"/>
      <c r="CF31" s="39"/>
      <c r="CG31" s="38"/>
      <c r="CH31" s="39"/>
      <c r="CI31" s="40"/>
      <c r="CJ31" s="36"/>
      <c r="CK31" s="37"/>
      <c r="CL31" s="38"/>
      <c r="CM31" s="39"/>
      <c r="CN31" s="38"/>
      <c r="CO31" s="39"/>
      <c r="CP31" s="38"/>
      <c r="CQ31" s="39"/>
      <c r="CR31" s="38"/>
      <c r="CS31" s="39"/>
      <c r="CT31" s="38"/>
      <c r="CU31" s="39"/>
      <c r="CV31" s="40"/>
      <c r="CW31" s="36"/>
      <c r="CX31" s="37"/>
      <c r="CY31" s="38"/>
      <c r="CZ31" s="39"/>
      <c r="DA31" s="38"/>
      <c r="DB31" s="39"/>
      <c r="DC31" s="38"/>
      <c r="DD31" s="39"/>
      <c r="DE31" s="38"/>
      <c r="DF31" s="39"/>
      <c r="DG31" s="38"/>
      <c r="DH31" s="39"/>
      <c r="DI31" s="41"/>
      <c r="DJ31" s="41"/>
      <c r="DK31" s="41"/>
      <c r="DL31" s="16"/>
    </row>
    <row r="32" spans="1:116" x14ac:dyDescent="0.25">
      <c r="B32" s="46"/>
      <c r="C32" s="42"/>
      <c r="D32" s="43"/>
      <c r="E32" s="34"/>
      <c r="F32" s="34"/>
      <c r="G32" s="40"/>
      <c r="H32" s="195">
        <v>0</v>
      </c>
      <c r="I32" s="40"/>
      <c r="J32" s="36"/>
      <c r="K32" s="37"/>
      <c r="L32" s="38"/>
      <c r="M32" s="39"/>
      <c r="N32" s="38"/>
      <c r="O32" s="39"/>
      <c r="P32" s="38"/>
      <c r="Q32" s="39"/>
      <c r="R32" s="38"/>
      <c r="S32" s="39"/>
      <c r="T32" s="38"/>
      <c r="U32" s="39"/>
      <c r="V32" s="40"/>
      <c r="W32" s="36"/>
      <c r="X32" s="37"/>
      <c r="Y32" s="38"/>
      <c r="Z32" s="39"/>
      <c r="AA32" s="38"/>
      <c r="AB32" s="39"/>
      <c r="AC32" s="38"/>
      <c r="AD32" s="39"/>
      <c r="AE32" s="38"/>
      <c r="AF32" s="39"/>
      <c r="AG32" s="38"/>
      <c r="AH32" s="39"/>
      <c r="AI32" s="40"/>
      <c r="AJ32" s="36"/>
      <c r="AK32" s="37"/>
      <c r="AL32" s="38"/>
      <c r="AM32" s="39"/>
      <c r="AN32" s="38"/>
      <c r="AO32" s="39"/>
      <c r="AP32" s="38"/>
      <c r="AQ32" s="39"/>
      <c r="AR32" s="38"/>
      <c r="AS32" s="39"/>
      <c r="AT32" s="38"/>
      <c r="AU32" s="39"/>
      <c r="AV32" s="40"/>
      <c r="AW32" s="36"/>
      <c r="AX32" s="37"/>
      <c r="AY32" s="38"/>
      <c r="AZ32" s="39"/>
      <c r="BA32" s="38"/>
      <c r="BB32" s="39"/>
      <c r="BC32" s="38"/>
      <c r="BD32" s="39"/>
      <c r="BE32" s="38"/>
      <c r="BF32" s="39"/>
      <c r="BG32" s="38"/>
      <c r="BH32" s="39"/>
      <c r="BI32" s="40"/>
      <c r="BJ32" s="36"/>
      <c r="BK32" s="37"/>
      <c r="BL32" s="38"/>
      <c r="BM32" s="39"/>
      <c r="BN32" s="38"/>
      <c r="BO32" s="39"/>
      <c r="BP32" s="38"/>
      <c r="BQ32" s="39"/>
      <c r="BR32" s="38"/>
      <c r="BS32" s="39"/>
      <c r="BT32" s="38"/>
      <c r="BU32" s="39"/>
      <c r="BV32" s="40"/>
      <c r="BW32" s="36"/>
      <c r="BX32" s="37"/>
      <c r="BY32" s="38"/>
      <c r="BZ32" s="39"/>
      <c r="CA32" s="38"/>
      <c r="CB32" s="39"/>
      <c r="CC32" s="38"/>
      <c r="CD32" s="39"/>
      <c r="CE32" s="38"/>
      <c r="CF32" s="39"/>
      <c r="CG32" s="38"/>
      <c r="CH32" s="39"/>
      <c r="CI32" s="40"/>
      <c r="CJ32" s="36"/>
      <c r="CK32" s="37"/>
      <c r="CL32" s="38"/>
      <c r="CM32" s="39"/>
      <c r="CN32" s="38"/>
      <c r="CO32" s="39"/>
      <c r="CP32" s="38"/>
      <c r="CQ32" s="39"/>
      <c r="CR32" s="38"/>
      <c r="CS32" s="39"/>
      <c r="CT32" s="38"/>
      <c r="CU32" s="39"/>
      <c r="CV32" s="40"/>
      <c r="CW32" s="36"/>
      <c r="CX32" s="37"/>
      <c r="CY32" s="38"/>
      <c r="CZ32" s="39"/>
      <c r="DA32" s="38"/>
      <c r="DB32" s="39"/>
      <c r="DC32" s="38"/>
      <c r="DD32" s="39"/>
      <c r="DE32" s="38"/>
      <c r="DF32" s="39"/>
      <c r="DG32" s="38"/>
      <c r="DH32" s="39"/>
      <c r="DI32" s="41"/>
      <c r="DJ32" s="41"/>
      <c r="DK32" s="41">
        <f t="shared" si="51"/>
        <v>0</v>
      </c>
      <c r="DL32" s="16"/>
    </row>
    <row r="33" spans="1:116" x14ac:dyDescent="0.25">
      <c r="A33" s="1" t="s">
        <v>183</v>
      </c>
      <c r="C33" s="45"/>
      <c r="D33" s="53"/>
      <c r="E33" s="50"/>
      <c r="F33" s="34">
        <v>0</v>
      </c>
      <c r="G33" s="40"/>
      <c r="H33" s="195">
        <v>0</v>
      </c>
      <c r="I33" s="40"/>
      <c r="J33" s="36"/>
      <c r="K33" s="37">
        <f t="shared" si="3"/>
        <v>0</v>
      </c>
      <c r="L33" s="38"/>
      <c r="M33" s="39">
        <f>L33*K33</f>
        <v>0</v>
      </c>
      <c r="N33" s="38"/>
      <c r="O33" s="39">
        <f>N33*K33</f>
        <v>0</v>
      </c>
      <c r="P33" s="38"/>
      <c r="Q33" s="39">
        <f>P33*K33</f>
        <v>0</v>
      </c>
      <c r="R33" s="38"/>
      <c r="S33" s="39">
        <f>R33*K33</f>
        <v>0</v>
      </c>
      <c r="T33" s="38"/>
      <c r="U33" s="39">
        <f>T33*K33</f>
        <v>0</v>
      </c>
      <c r="V33" s="40"/>
      <c r="W33" s="36"/>
      <c r="X33" s="37">
        <f t="shared" si="9"/>
        <v>0</v>
      </c>
      <c r="Y33" s="38"/>
      <c r="Z33" s="39">
        <f>Y33*X33</f>
        <v>0</v>
      </c>
      <c r="AA33" s="38"/>
      <c r="AB33" s="39">
        <f>AA33*X33</f>
        <v>0</v>
      </c>
      <c r="AC33" s="38"/>
      <c r="AD33" s="39">
        <f>AC33*X33</f>
        <v>0</v>
      </c>
      <c r="AE33" s="38"/>
      <c r="AF33" s="39">
        <f>AE33*X33</f>
        <v>0</v>
      </c>
      <c r="AG33" s="38"/>
      <c r="AH33" s="39">
        <f>AG33*X33</f>
        <v>0</v>
      </c>
      <c r="AI33" s="40"/>
      <c r="AJ33" s="36"/>
      <c r="AK33" s="37">
        <f t="shared" si="15"/>
        <v>0</v>
      </c>
      <c r="AL33" s="38"/>
      <c r="AM33" s="39">
        <f>AL33*AK33</f>
        <v>0</v>
      </c>
      <c r="AN33" s="38"/>
      <c r="AO33" s="39">
        <f>AN33*AK33</f>
        <v>0</v>
      </c>
      <c r="AP33" s="38"/>
      <c r="AQ33" s="39">
        <f>AP33*AK33</f>
        <v>0</v>
      </c>
      <c r="AR33" s="38"/>
      <c r="AS33" s="39">
        <f>AR33*AK33</f>
        <v>0</v>
      </c>
      <c r="AT33" s="38"/>
      <c r="AU33" s="39">
        <f>AT33*AK33</f>
        <v>0</v>
      </c>
      <c r="AV33" s="40"/>
      <c r="AW33" s="36"/>
      <c r="AX33" s="37">
        <f t="shared" si="21"/>
        <v>0</v>
      </c>
      <c r="AY33" s="38"/>
      <c r="AZ33" s="39">
        <f>AY33*AX33</f>
        <v>0</v>
      </c>
      <c r="BA33" s="38"/>
      <c r="BB33" s="39">
        <f>BA33*AX33</f>
        <v>0</v>
      </c>
      <c r="BC33" s="38"/>
      <c r="BD33" s="39">
        <f>BC33*AX33</f>
        <v>0</v>
      </c>
      <c r="BE33" s="38"/>
      <c r="BF33" s="39">
        <f>BE33*AX33</f>
        <v>0</v>
      </c>
      <c r="BG33" s="38"/>
      <c r="BH33" s="39">
        <f>BG33*AX33</f>
        <v>0</v>
      </c>
      <c r="BI33" s="40"/>
      <c r="BJ33" s="36"/>
      <c r="BK33" s="37">
        <f t="shared" si="27"/>
        <v>0</v>
      </c>
      <c r="BL33" s="38"/>
      <c r="BM33" s="39">
        <f>BL33*BK33</f>
        <v>0</v>
      </c>
      <c r="BN33" s="38"/>
      <c r="BO33" s="39">
        <f>BN33*BK33</f>
        <v>0</v>
      </c>
      <c r="BP33" s="38"/>
      <c r="BQ33" s="39">
        <f>BP33*BK33</f>
        <v>0</v>
      </c>
      <c r="BR33" s="38"/>
      <c r="BS33" s="39">
        <f>BR33*BK33</f>
        <v>0</v>
      </c>
      <c r="BT33" s="38"/>
      <c r="BU33" s="39">
        <f>BT33*BK33</f>
        <v>0</v>
      </c>
      <c r="BV33" s="40"/>
      <c r="BW33" s="36"/>
      <c r="BX33" s="37">
        <f t="shared" si="33"/>
        <v>0</v>
      </c>
      <c r="BY33" s="38"/>
      <c r="BZ33" s="39">
        <f>BY33*BX33</f>
        <v>0</v>
      </c>
      <c r="CA33" s="38"/>
      <c r="CB33" s="39">
        <f>CA33*BX33</f>
        <v>0</v>
      </c>
      <c r="CC33" s="38"/>
      <c r="CD33" s="39">
        <f>CC33*BX33</f>
        <v>0</v>
      </c>
      <c r="CE33" s="38"/>
      <c r="CF33" s="39">
        <f>CE33*BX33</f>
        <v>0</v>
      </c>
      <c r="CG33" s="38"/>
      <c r="CH33" s="39">
        <f>CG33*BX33</f>
        <v>0</v>
      </c>
      <c r="CI33" s="40"/>
      <c r="CJ33" s="36"/>
      <c r="CK33" s="37">
        <f t="shared" si="39"/>
        <v>0</v>
      </c>
      <c r="CL33" s="38"/>
      <c r="CM33" s="39">
        <f>CL33*CK33</f>
        <v>0</v>
      </c>
      <c r="CN33" s="38"/>
      <c r="CO33" s="39">
        <f>CN33*CK33</f>
        <v>0</v>
      </c>
      <c r="CP33" s="38"/>
      <c r="CQ33" s="39">
        <f>CP33*CK33</f>
        <v>0</v>
      </c>
      <c r="CR33" s="38"/>
      <c r="CS33" s="39">
        <f>CR33*CK33</f>
        <v>0</v>
      </c>
      <c r="CT33" s="38"/>
      <c r="CU33" s="39">
        <f>CT33*CK33</f>
        <v>0</v>
      </c>
      <c r="CV33" s="40"/>
      <c r="CW33" s="36"/>
      <c r="CX33" s="37">
        <f t="shared" si="45"/>
        <v>0</v>
      </c>
      <c r="CY33" s="38"/>
      <c r="CZ33" s="39">
        <f>CY33*CX33</f>
        <v>0</v>
      </c>
      <c r="DA33" s="38"/>
      <c r="DB33" s="39">
        <f>DA33*CX33</f>
        <v>0</v>
      </c>
      <c r="DC33" s="38"/>
      <c r="DD33" s="39">
        <f>DC33*CX33</f>
        <v>0</v>
      </c>
      <c r="DE33" s="38"/>
      <c r="DF33" s="39">
        <f>DE33*CX33</f>
        <v>0</v>
      </c>
      <c r="DG33" s="38"/>
      <c r="DH33" s="39">
        <f>DG33*CX33</f>
        <v>0</v>
      </c>
      <c r="DI33" s="41">
        <f t="shared" ref="DI33:DI56" si="55">F33</f>
        <v>0</v>
      </c>
      <c r="DJ33" s="41">
        <f t="shared" ref="DJ33:DJ36" si="56">K33+X33+AK33+AX33+BK33+BX33+CK33+CX33</f>
        <v>0</v>
      </c>
      <c r="DK33" s="41">
        <f t="shared" si="51"/>
        <v>0</v>
      </c>
      <c r="DL33" s="16">
        <f>IF(AND(DI33=DJ33,DJ33=DK33,DI33=DK33),0,1)</f>
        <v>0</v>
      </c>
    </row>
    <row r="34" spans="1:116" x14ac:dyDescent="0.25">
      <c r="B34" s="48" t="s">
        <v>32</v>
      </c>
      <c r="C34" s="42" t="s">
        <v>33</v>
      </c>
      <c r="D34" s="53">
        <v>11600</v>
      </c>
      <c r="E34" s="224">
        <f>H34*$K$81</f>
        <v>255.1</v>
      </c>
      <c r="F34" s="34">
        <v>2784000</v>
      </c>
      <c r="G34" s="40"/>
      <c r="H34" s="195">
        <v>250</v>
      </c>
      <c r="I34" s="40"/>
      <c r="J34" s="36"/>
      <c r="K34" s="37">
        <f t="shared" si="3"/>
        <v>0</v>
      </c>
      <c r="L34" s="38"/>
      <c r="M34" s="39">
        <f>L34*K34</f>
        <v>0</v>
      </c>
      <c r="N34" s="38"/>
      <c r="O34" s="39">
        <f>N34*K34</f>
        <v>0</v>
      </c>
      <c r="P34" s="38"/>
      <c r="Q34" s="39">
        <f>P34*K34</f>
        <v>0</v>
      </c>
      <c r="R34" s="38"/>
      <c r="S34" s="39">
        <f>R34*K34</f>
        <v>0</v>
      </c>
      <c r="T34" s="38"/>
      <c r="U34" s="39">
        <f>T34*K34</f>
        <v>0</v>
      </c>
      <c r="V34" s="40"/>
      <c r="W34" s="36"/>
      <c r="X34" s="37">
        <f t="shared" si="9"/>
        <v>0</v>
      </c>
      <c r="Y34" s="38"/>
      <c r="Z34" s="39">
        <f>Y34*X34</f>
        <v>0</v>
      </c>
      <c r="AA34" s="38"/>
      <c r="AB34" s="39">
        <f>AA34*X34</f>
        <v>0</v>
      </c>
      <c r="AC34" s="38"/>
      <c r="AD34" s="39">
        <f>AC34*X34</f>
        <v>0</v>
      </c>
      <c r="AE34" s="38"/>
      <c r="AF34" s="39">
        <f>AE34*X34</f>
        <v>0</v>
      </c>
      <c r="AG34" s="38"/>
      <c r="AH34" s="39">
        <f>AG34*X34</f>
        <v>0</v>
      </c>
      <c r="AI34" s="40"/>
      <c r="AJ34" s="36">
        <v>0.8</v>
      </c>
      <c r="AK34" s="37">
        <f t="shared" si="15"/>
        <v>2227200</v>
      </c>
      <c r="AL34" s="38">
        <v>1</v>
      </c>
      <c r="AM34" s="39">
        <f>AL34*AK34</f>
        <v>2227200</v>
      </c>
      <c r="AN34" s="38"/>
      <c r="AO34" s="39">
        <f>AN34*AK34</f>
        <v>0</v>
      </c>
      <c r="AP34" s="38"/>
      <c r="AQ34" s="39">
        <f>AP34*AK34</f>
        <v>0</v>
      </c>
      <c r="AR34" s="38"/>
      <c r="AS34" s="39">
        <f>AR34*AK34</f>
        <v>0</v>
      </c>
      <c r="AT34" s="38"/>
      <c r="AU34" s="39">
        <f>AT34*AK34</f>
        <v>0</v>
      </c>
      <c r="AV34" s="40"/>
      <c r="AW34" s="36">
        <v>0.2</v>
      </c>
      <c r="AX34" s="37">
        <f t="shared" si="21"/>
        <v>556800</v>
      </c>
      <c r="AY34" s="38">
        <v>1</v>
      </c>
      <c r="AZ34" s="39">
        <f>AY34*AX34</f>
        <v>556800</v>
      </c>
      <c r="BA34" s="38"/>
      <c r="BB34" s="39">
        <f>BA34*AX34</f>
        <v>0</v>
      </c>
      <c r="BC34" s="38"/>
      <c r="BD34" s="39">
        <f>BC34*AX34</f>
        <v>0</v>
      </c>
      <c r="BE34" s="38"/>
      <c r="BF34" s="39">
        <f>BE34*AX34</f>
        <v>0</v>
      </c>
      <c r="BG34" s="38"/>
      <c r="BH34" s="39">
        <f>BG34*AX34</f>
        <v>0</v>
      </c>
      <c r="BI34" s="40"/>
      <c r="BJ34" s="36"/>
      <c r="BK34" s="37">
        <f t="shared" si="27"/>
        <v>0</v>
      </c>
      <c r="BL34" s="38"/>
      <c r="BM34" s="39">
        <f>BL34*BK34</f>
        <v>0</v>
      </c>
      <c r="BN34" s="38"/>
      <c r="BO34" s="39">
        <f>BN34*BK34</f>
        <v>0</v>
      </c>
      <c r="BP34" s="38"/>
      <c r="BQ34" s="39">
        <f>BP34*BK34</f>
        <v>0</v>
      </c>
      <c r="BR34" s="38"/>
      <c r="BS34" s="39">
        <f>BR34*BK34</f>
        <v>0</v>
      </c>
      <c r="BT34" s="38"/>
      <c r="BU34" s="39">
        <f>BT34*BK34</f>
        <v>0</v>
      </c>
      <c r="BV34" s="40"/>
      <c r="BW34" s="36"/>
      <c r="BX34" s="37">
        <f t="shared" si="33"/>
        <v>0</v>
      </c>
      <c r="BY34" s="38"/>
      <c r="BZ34" s="39">
        <f>BY34*BX34</f>
        <v>0</v>
      </c>
      <c r="CA34" s="38"/>
      <c r="CB34" s="39">
        <f>CA34*BX34</f>
        <v>0</v>
      </c>
      <c r="CC34" s="38"/>
      <c r="CD34" s="39">
        <f>CC34*BX34</f>
        <v>0</v>
      </c>
      <c r="CE34" s="38"/>
      <c r="CF34" s="39">
        <f>CE34*BX34</f>
        <v>0</v>
      </c>
      <c r="CG34" s="38"/>
      <c r="CH34" s="39">
        <f>CG34*BX34</f>
        <v>0</v>
      </c>
      <c r="CI34" s="40"/>
      <c r="CJ34" s="36"/>
      <c r="CK34" s="37">
        <f t="shared" si="39"/>
        <v>0</v>
      </c>
      <c r="CL34" s="38"/>
      <c r="CM34" s="39">
        <f>CL34*CK34</f>
        <v>0</v>
      </c>
      <c r="CN34" s="38"/>
      <c r="CO34" s="39">
        <f>CN34*CK34</f>
        <v>0</v>
      </c>
      <c r="CP34" s="38"/>
      <c r="CQ34" s="39">
        <f>CP34*CK34</f>
        <v>0</v>
      </c>
      <c r="CR34" s="38"/>
      <c r="CS34" s="39">
        <f>CR34*CK34</f>
        <v>0</v>
      </c>
      <c r="CT34" s="38"/>
      <c r="CU34" s="39">
        <f>CT34*CK34</f>
        <v>0</v>
      </c>
      <c r="CV34" s="40"/>
      <c r="CW34" s="36"/>
      <c r="CX34" s="37">
        <f t="shared" si="45"/>
        <v>0</v>
      </c>
      <c r="CY34" s="38"/>
      <c r="CZ34" s="39">
        <f>CY34*CX34</f>
        <v>0</v>
      </c>
      <c r="DA34" s="38"/>
      <c r="DB34" s="39">
        <f>DA34*CX34</f>
        <v>0</v>
      </c>
      <c r="DC34" s="38"/>
      <c r="DD34" s="39">
        <f>DC34*CX34</f>
        <v>0</v>
      </c>
      <c r="DE34" s="38"/>
      <c r="DF34" s="39">
        <f>DE34*CX34</f>
        <v>0</v>
      </c>
      <c r="DG34" s="38"/>
      <c r="DH34" s="39">
        <f>DG34*CX34</f>
        <v>0</v>
      </c>
      <c r="DI34" s="41">
        <f t="shared" si="55"/>
        <v>2784000</v>
      </c>
      <c r="DJ34" s="41">
        <f t="shared" si="56"/>
        <v>2784000</v>
      </c>
      <c r="DK34" s="41">
        <f t="shared" si="51"/>
        <v>2784000</v>
      </c>
      <c r="DL34" s="16">
        <f>IF(AND(DI34=DJ34,DJ34=DK34,DI34=DK34),0,1)</f>
        <v>0</v>
      </c>
    </row>
    <row r="35" spans="1:116" x14ac:dyDescent="0.25">
      <c r="B35" s="46" t="s">
        <v>34</v>
      </c>
      <c r="C35" s="42" t="s">
        <v>33</v>
      </c>
      <c r="D35" s="53">
        <v>11600</v>
      </c>
      <c r="E35" s="34">
        <f>$K$70</f>
        <v>-108.3695731319762</v>
      </c>
      <c r="F35" s="34">
        <f t="shared" ref="F35" si="57">D35*E35</f>
        <v>-1257087.0483309238</v>
      </c>
      <c r="G35" s="40"/>
      <c r="H35" s="195">
        <v>-123.79</v>
      </c>
      <c r="I35" s="40"/>
      <c r="J35" s="36"/>
      <c r="K35" s="37">
        <f t="shared" si="3"/>
        <v>0</v>
      </c>
      <c r="L35" s="38"/>
      <c r="M35" s="39">
        <f>L35*K35</f>
        <v>0</v>
      </c>
      <c r="N35" s="38"/>
      <c r="O35" s="39">
        <f>N35*K35</f>
        <v>0</v>
      </c>
      <c r="P35" s="38"/>
      <c r="Q35" s="39">
        <f>P35*K35</f>
        <v>0</v>
      </c>
      <c r="R35" s="38"/>
      <c r="S35" s="39">
        <f>R35*K35</f>
        <v>0</v>
      </c>
      <c r="T35" s="38"/>
      <c r="U35" s="39">
        <f>T35*K35</f>
        <v>0</v>
      </c>
      <c r="V35" s="40"/>
      <c r="W35" s="36"/>
      <c r="X35" s="37">
        <f t="shared" si="9"/>
        <v>0</v>
      </c>
      <c r="Y35" s="38"/>
      <c r="Z35" s="39">
        <f>Y35*X35</f>
        <v>0</v>
      </c>
      <c r="AA35" s="38"/>
      <c r="AB35" s="39">
        <f>AA35*X35</f>
        <v>0</v>
      </c>
      <c r="AC35" s="38"/>
      <c r="AD35" s="39">
        <f>AC35*X35</f>
        <v>0</v>
      </c>
      <c r="AE35" s="38"/>
      <c r="AF35" s="39">
        <f>AE35*X35</f>
        <v>0</v>
      </c>
      <c r="AG35" s="38"/>
      <c r="AH35" s="39">
        <f>AG35*X35</f>
        <v>0</v>
      </c>
      <c r="AI35" s="40"/>
      <c r="AJ35" s="36">
        <v>0.8</v>
      </c>
      <c r="AK35" s="37">
        <f t="shared" si="15"/>
        <v>-1005669.6386647391</v>
      </c>
      <c r="AL35" s="38">
        <v>1</v>
      </c>
      <c r="AM35" s="39">
        <f>AL35*AK35</f>
        <v>-1005669.6386647391</v>
      </c>
      <c r="AN35" s="38"/>
      <c r="AO35" s="39">
        <f>AN35*AK35</f>
        <v>0</v>
      </c>
      <c r="AP35" s="38"/>
      <c r="AQ35" s="39">
        <f>AP35*AK35</f>
        <v>0</v>
      </c>
      <c r="AR35" s="38"/>
      <c r="AS35" s="39">
        <f>AR35*AK35</f>
        <v>0</v>
      </c>
      <c r="AT35" s="38"/>
      <c r="AU35" s="39">
        <f>AT35*AK35</f>
        <v>0</v>
      </c>
      <c r="AV35" s="40"/>
      <c r="AW35" s="36">
        <v>0.2</v>
      </c>
      <c r="AX35" s="37">
        <f t="shared" si="21"/>
        <v>-251417.40966618477</v>
      </c>
      <c r="AY35" s="38">
        <v>1</v>
      </c>
      <c r="AZ35" s="39">
        <f>AY35*AX35</f>
        <v>-251417.40966618477</v>
      </c>
      <c r="BA35" s="38"/>
      <c r="BB35" s="39">
        <f>BA35*AX35</f>
        <v>0</v>
      </c>
      <c r="BC35" s="38"/>
      <c r="BD35" s="39">
        <f>BC35*AX35</f>
        <v>0</v>
      </c>
      <c r="BE35" s="38"/>
      <c r="BF35" s="39">
        <f>BE35*AX35</f>
        <v>0</v>
      </c>
      <c r="BG35" s="38"/>
      <c r="BH35" s="39">
        <f>BG35*AX35</f>
        <v>0</v>
      </c>
      <c r="BI35" s="40"/>
      <c r="BJ35" s="36"/>
      <c r="BK35" s="37">
        <f t="shared" si="27"/>
        <v>0</v>
      </c>
      <c r="BL35" s="38"/>
      <c r="BM35" s="39">
        <f>BL35*BK35</f>
        <v>0</v>
      </c>
      <c r="BN35" s="38"/>
      <c r="BO35" s="39">
        <f>BN35*BK35</f>
        <v>0</v>
      </c>
      <c r="BP35" s="38"/>
      <c r="BQ35" s="39">
        <f>BP35*BK35</f>
        <v>0</v>
      </c>
      <c r="BR35" s="38"/>
      <c r="BS35" s="39">
        <f>BR35*BK35</f>
        <v>0</v>
      </c>
      <c r="BT35" s="38"/>
      <c r="BU35" s="39">
        <f>BT35*BK35</f>
        <v>0</v>
      </c>
      <c r="BV35" s="40"/>
      <c r="BW35" s="36"/>
      <c r="BX35" s="37">
        <f t="shared" si="33"/>
        <v>0</v>
      </c>
      <c r="BY35" s="38"/>
      <c r="BZ35" s="39">
        <f>BY35*BX35</f>
        <v>0</v>
      </c>
      <c r="CA35" s="38"/>
      <c r="CB35" s="39">
        <f>CA35*BX35</f>
        <v>0</v>
      </c>
      <c r="CC35" s="38"/>
      <c r="CD35" s="39">
        <f>CC35*BX35</f>
        <v>0</v>
      </c>
      <c r="CE35" s="38"/>
      <c r="CF35" s="39">
        <f>CE35*BX35</f>
        <v>0</v>
      </c>
      <c r="CG35" s="38"/>
      <c r="CH35" s="39">
        <f>CG35*BX35</f>
        <v>0</v>
      </c>
      <c r="CI35" s="40"/>
      <c r="CJ35" s="36"/>
      <c r="CK35" s="37">
        <f t="shared" si="39"/>
        <v>0</v>
      </c>
      <c r="CL35" s="38"/>
      <c r="CM35" s="39">
        <f>CL35*CK35</f>
        <v>0</v>
      </c>
      <c r="CN35" s="38"/>
      <c r="CO35" s="39">
        <f>CN35*CK35</f>
        <v>0</v>
      </c>
      <c r="CP35" s="38"/>
      <c r="CQ35" s="39">
        <f>CP35*CK35</f>
        <v>0</v>
      </c>
      <c r="CR35" s="38"/>
      <c r="CS35" s="39">
        <f>CR35*CK35</f>
        <v>0</v>
      </c>
      <c r="CT35" s="38"/>
      <c r="CU35" s="39">
        <f>CT35*CK35</f>
        <v>0</v>
      </c>
      <c r="CV35" s="40"/>
      <c r="CW35" s="36"/>
      <c r="CX35" s="37">
        <f t="shared" si="45"/>
        <v>0</v>
      </c>
      <c r="CY35" s="38"/>
      <c r="CZ35" s="39">
        <f>CY35*CX35</f>
        <v>0</v>
      </c>
      <c r="DA35" s="38"/>
      <c r="DB35" s="39">
        <f>DA35*CX35</f>
        <v>0</v>
      </c>
      <c r="DC35" s="38"/>
      <c r="DD35" s="39">
        <f>DC35*CX35</f>
        <v>0</v>
      </c>
      <c r="DE35" s="38"/>
      <c r="DF35" s="39">
        <f>DE35*CX35</f>
        <v>0</v>
      </c>
      <c r="DG35" s="38"/>
      <c r="DH35" s="39">
        <f>DG35*CX35</f>
        <v>0</v>
      </c>
      <c r="DI35" s="41">
        <f t="shared" si="55"/>
        <v>-1257087.0483309238</v>
      </c>
      <c r="DJ35" s="41">
        <f t="shared" si="56"/>
        <v>-1257087.0483309238</v>
      </c>
      <c r="DK35" s="41">
        <f t="shared" si="51"/>
        <v>-1257087.0483309238</v>
      </c>
      <c r="DL35" s="16">
        <f>IF(AND(DI35=DJ35,DJ35=DK35,DI35=DK35),0,1)</f>
        <v>0</v>
      </c>
    </row>
    <row r="36" spans="1:116" x14ac:dyDescent="0.25">
      <c r="C36" s="45"/>
      <c r="D36" s="43"/>
      <c r="E36" s="50"/>
      <c r="F36" s="34">
        <f>D36*E36</f>
        <v>0</v>
      </c>
      <c r="G36" s="40"/>
      <c r="H36" s="195">
        <v>0</v>
      </c>
      <c r="I36" s="40"/>
      <c r="J36" s="36"/>
      <c r="K36" s="37">
        <f t="shared" si="3"/>
        <v>0</v>
      </c>
      <c r="L36" s="38"/>
      <c r="M36" s="39">
        <f>L36*K36</f>
        <v>0</v>
      </c>
      <c r="N36" s="38"/>
      <c r="O36" s="39">
        <f>N36*K36</f>
        <v>0</v>
      </c>
      <c r="P36" s="38"/>
      <c r="Q36" s="39">
        <f>P36*K36</f>
        <v>0</v>
      </c>
      <c r="R36" s="38"/>
      <c r="S36" s="39">
        <f>R36*K36</f>
        <v>0</v>
      </c>
      <c r="T36" s="38"/>
      <c r="U36" s="39">
        <f>T36*K36</f>
        <v>0</v>
      </c>
      <c r="V36" s="40"/>
      <c r="W36" s="36"/>
      <c r="X36" s="37">
        <f t="shared" si="9"/>
        <v>0</v>
      </c>
      <c r="Y36" s="38"/>
      <c r="Z36" s="39">
        <f>Y36*X36</f>
        <v>0</v>
      </c>
      <c r="AA36" s="38"/>
      <c r="AB36" s="39">
        <f>AA36*X36</f>
        <v>0</v>
      </c>
      <c r="AC36" s="38"/>
      <c r="AD36" s="39">
        <f>AC36*X36</f>
        <v>0</v>
      </c>
      <c r="AE36" s="38"/>
      <c r="AF36" s="39">
        <f>AE36*X36</f>
        <v>0</v>
      </c>
      <c r="AG36" s="38"/>
      <c r="AH36" s="39">
        <f>AG36*X36</f>
        <v>0</v>
      </c>
      <c r="AI36" s="40"/>
      <c r="AJ36" s="36"/>
      <c r="AK36" s="37">
        <f t="shared" si="15"/>
        <v>0</v>
      </c>
      <c r="AL36" s="38"/>
      <c r="AM36" s="39">
        <f>AL36*AK36</f>
        <v>0</v>
      </c>
      <c r="AN36" s="38"/>
      <c r="AO36" s="39">
        <f>AN36*AK36</f>
        <v>0</v>
      </c>
      <c r="AP36" s="38"/>
      <c r="AQ36" s="39">
        <f>AP36*AK36</f>
        <v>0</v>
      </c>
      <c r="AR36" s="38"/>
      <c r="AS36" s="39">
        <f>AR36*AK36</f>
        <v>0</v>
      </c>
      <c r="AT36" s="38"/>
      <c r="AU36" s="39">
        <f>AT36*AK36</f>
        <v>0</v>
      </c>
      <c r="AV36" s="40"/>
      <c r="AW36" s="36"/>
      <c r="AX36" s="37">
        <f t="shared" si="21"/>
        <v>0</v>
      </c>
      <c r="AY36" s="38"/>
      <c r="AZ36" s="39">
        <f>AY36*AX36</f>
        <v>0</v>
      </c>
      <c r="BA36" s="38"/>
      <c r="BB36" s="39">
        <f>BA36*AX36</f>
        <v>0</v>
      </c>
      <c r="BC36" s="38"/>
      <c r="BD36" s="39">
        <f>BC36*AX36</f>
        <v>0</v>
      </c>
      <c r="BE36" s="38"/>
      <c r="BF36" s="39">
        <f>BE36*AX36</f>
        <v>0</v>
      </c>
      <c r="BG36" s="38"/>
      <c r="BH36" s="39">
        <f>BG36*AX36</f>
        <v>0</v>
      </c>
      <c r="BI36" s="40"/>
      <c r="BJ36" s="36"/>
      <c r="BK36" s="37">
        <f t="shared" si="27"/>
        <v>0</v>
      </c>
      <c r="BL36" s="38"/>
      <c r="BM36" s="39">
        <f>BL36*BK36</f>
        <v>0</v>
      </c>
      <c r="BN36" s="38"/>
      <c r="BO36" s="39">
        <f>BN36*BK36</f>
        <v>0</v>
      </c>
      <c r="BP36" s="38"/>
      <c r="BQ36" s="39">
        <f>BP36*BK36</f>
        <v>0</v>
      </c>
      <c r="BR36" s="38"/>
      <c r="BS36" s="39">
        <f>BR36*BK36</f>
        <v>0</v>
      </c>
      <c r="BT36" s="38"/>
      <c r="BU36" s="39">
        <f>BT36*BK36</f>
        <v>0</v>
      </c>
      <c r="BV36" s="40"/>
      <c r="BW36" s="36"/>
      <c r="BX36" s="37">
        <f t="shared" si="33"/>
        <v>0</v>
      </c>
      <c r="BY36" s="38"/>
      <c r="BZ36" s="39">
        <f>BY36*BX36</f>
        <v>0</v>
      </c>
      <c r="CA36" s="38"/>
      <c r="CB36" s="39">
        <f>CA36*BX36</f>
        <v>0</v>
      </c>
      <c r="CC36" s="38"/>
      <c r="CD36" s="39">
        <f>CC36*BX36</f>
        <v>0</v>
      </c>
      <c r="CE36" s="38"/>
      <c r="CF36" s="39">
        <f>CE36*BX36</f>
        <v>0</v>
      </c>
      <c r="CG36" s="38"/>
      <c r="CH36" s="39">
        <f>CG36*BX36</f>
        <v>0</v>
      </c>
      <c r="CI36" s="40"/>
      <c r="CJ36" s="36"/>
      <c r="CK36" s="37">
        <f t="shared" si="39"/>
        <v>0</v>
      </c>
      <c r="CL36" s="38"/>
      <c r="CM36" s="39">
        <f>CL36*CK36</f>
        <v>0</v>
      </c>
      <c r="CN36" s="38"/>
      <c r="CO36" s="39">
        <f>CN36*CK36</f>
        <v>0</v>
      </c>
      <c r="CP36" s="38"/>
      <c r="CQ36" s="39">
        <f>CP36*CK36</f>
        <v>0</v>
      </c>
      <c r="CR36" s="38"/>
      <c r="CS36" s="39">
        <f>CR36*CK36</f>
        <v>0</v>
      </c>
      <c r="CT36" s="38"/>
      <c r="CU36" s="39">
        <f>CT36*CK36</f>
        <v>0</v>
      </c>
      <c r="CV36" s="40"/>
      <c r="CW36" s="36"/>
      <c r="CX36" s="37">
        <f t="shared" si="45"/>
        <v>0</v>
      </c>
      <c r="CY36" s="38"/>
      <c r="CZ36" s="39">
        <f>CY36*CX36</f>
        <v>0</v>
      </c>
      <c r="DA36" s="38"/>
      <c r="DB36" s="39">
        <f>DA36*CX36</f>
        <v>0</v>
      </c>
      <c r="DC36" s="38"/>
      <c r="DD36" s="39">
        <f>DC36*CX36</f>
        <v>0</v>
      </c>
      <c r="DE36" s="38"/>
      <c r="DF36" s="39">
        <f>DE36*CX36</f>
        <v>0</v>
      </c>
      <c r="DG36" s="38"/>
      <c r="DH36" s="39">
        <f>DG36*CX36</f>
        <v>0</v>
      </c>
      <c r="DI36" s="41">
        <f t="shared" si="55"/>
        <v>0</v>
      </c>
      <c r="DJ36" s="41">
        <f t="shared" si="56"/>
        <v>0</v>
      </c>
      <c r="DK36" s="41">
        <f t="shared" si="51"/>
        <v>0</v>
      </c>
      <c r="DL36" s="16">
        <f>IF(AND(DI36=DJ36,DJ36=DK36,DI36=DK36),0,1)</f>
        <v>0</v>
      </c>
    </row>
    <row r="37" spans="1:116" x14ac:dyDescent="0.25">
      <c r="A37" s="1" t="s">
        <v>184</v>
      </c>
      <c r="C37" s="45"/>
      <c r="D37" s="53"/>
      <c r="E37" s="50"/>
      <c r="F37" s="34">
        <v>0</v>
      </c>
      <c r="G37" s="40"/>
      <c r="H37" s="195">
        <v>0</v>
      </c>
      <c r="I37" s="40"/>
      <c r="J37" s="36"/>
      <c r="K37" s="37">
        <f t="shared" si="3"/>
        <v>0</v>
      </c>
      <c r="L37" s="38"/>
      <c r="M37" s="39">
        <f t="shared" si="4"/>
        <v>0</v>
      </c>
      <c r="N37" s="38"/>
      <c r="O37" s="39">
        <f t="shared" si="5"/>
        <v>0</v>
      </c>
      <c r="P37" s="38"/>
      <c r="Q37" s="39">
        <f t="shared" si="6"/>
        <v>0</v>
      </c>
      <c r="R37" s="38"/>
      <c r="S37" s="39">
        <f t="shared" si="7"/>
        <v>0</v>
      </c>
      <c r="T37" s="38"/>
      <c r="U37" s="39">
        <f t="shared" si="8"/>
        <v>0</v>
      </c>
      <c r="V37" s="40"/>
      <c r="W37" s="36"/>
      <c r="X37" s="37">
        <f t="shared" si="9"/>
        <v>0</v>
      </c>
      <c r="Y37" s="38"/>
      <c r="Z37" s="39">
        <f t="shared" si="10"/>
        <v>0</v>
      </c>
      <c r="AA37" s="38"/>
      <c r="AB37" s="39">
        <f t="shared" si="11"/>
        <v>0</v>
      </c>
      <c r="AC37" s="38"/>
      <c r="AD37" s="39">
        <f t="shared" si="12"/>
        <v>0</v>
      </c>
      <c r="AE37" s="38"/>
      <c r="AF37" s="39">
        <f t="shared" si="13"/>
        <v>0</v>
      </c>
      <c r="AG37" s="38"/>
      <c r="AH37" s="39">
        <f t="shared" si="14"/>
        <v>0</v>
      </c>
      <c r="AI37" s="40"/>
      <c r="AJ37" s="36"/>
      <c r="AK37" s="37">
        <f t="shared" si="15"/>
        <v>0</v>
      </c>
      <c r="AL37" s="38"/>
      <c r="AM37" s="39">
        <f t="shared" si="16"/>
        <v>0</v>
      </c>
      <c r="AN37" s="38"/>
      <c r="AO37" s="39">
        <f t="shared" si="17"/>
        <v>0</v>
      </c>
      <c r="AP37" s="38"/>
      <c r="AQ37" s="39">
        <f t="shared" si="18"/>
        <v>0</v>
      </c>
      <c r="AR37" s="38"/>
      <c r="AS37" s="39">
        <f t="shared" si="19"/>
        <v>0</v>
      </c>
      <c r="AT37" s="38"/>
      <c r="AU37" s="39">
        <f t="shared" si="20"/>
        <v>0</v>
      </c>
      <c r="AV37" s="40"/>
      <c r="AW37" s="36"/>
      <c r="AX37" s="37">
        <f t="shared" si="21"/>
        <v>0</v>
      </c>
      <c r="AY37" s="38"/>
      <c r="AZ37" s="39">
        <f t="shared" si="22"/>
        <v>0</v>
      </c>
      <c r="BA37" s="38"/>
      <c r="BB37" s="39">
        <f t="shared" si="23"/>
        <v>0</v>
      </c>
      <c r="BC37" s="38"/>
      <c r="BD37" s="39">
        <f t="shared" si="24"/>
        <v>0</v>
      </c>
      <c r="BE37" s="38"/>
      <c r="BF37" s="39">
        <f t="shared" si="25"/>
        <v>0</v>
      </c>
      <c r="BG37" s="38"/>
      <c r="BH37" s="39">
        <f t="shared" si="26"/>
        <v>0</v>
      </c>
      <c r="BI37" s="40"/>
      <c r="BJ37" s="36"/>
      <c r="BK37" s="37">
        <f t="shared" si="27"/>
        <v>0</v>
      </c>
      <c r="BL37" s="38"/>
      <c r="BM37" s="39">
        <f t="shared" si="28"/>
        <v>0</v>
      </c>
      <c r="BN37" s="38"/>
      <c r="BO37" s="39">
        <f t="shared" si="29"/>
        <v>0</v>
      </c>
      <c r="BP37" s="38"/>
      <c r="BQ37" s="39">
        <f t="shared" si="30"/>
        <v>0</v>
      </c>
      <c r="BR37" s="38"/>
      <c r="BS37" s="39">
        <f t="shared" si="31"/>
        <v>0</v>
      </c>
      <c r="BT37" s="38"/>
      <c r="BU37" s="39">
        <f t="shared" si="32"/>
        <v>0</v>
      </c>
      <c r="BV37" s="40"/>
      <c r="BW37" s="36"/>
      <c r="BX37" s="37">
        <f t="shared" si="33"/>
        <v>0</v>
      </c>
      <c r="BY37" s="38"/>
      <c r="BZ37" s="39">
        <f t="shared" si="34"/>
        <v>0</v>
      </c>
      <c r="CA37" s="38"/>
      <c r="CB37" s="39">
        <f t="shared" si="35"/>
        <v>0</v>
      </c>
      <c r="CC37" s="38"/>
      <c r="CD37" s="39">
        <f t="shared" si="36"/>
        <v>0</v>
      </c>
      <c r="CE37" s="38"/>
      <c r="CF37" s="39">
        <f t="shared" ref="CF37:CF44" si="58">CE37*BX37</f>
        <v>0</v>
      </c>
      <c r="CG37" s="38"/>
      <c r="CH37" s="39">
        <f t="shared" ref="CH37:CH44" si="59">CG37*BX37</f>
        <v>0</v>
      </c>
      <c r="CI37" s="40"/>
      <c r="CJ37" s="36"/>
      <c r="CK37" s="37">
        <f t="shared" si="39"/>
        <v>0</v>
      </c>
      <c r="CL37" s="38"/>
      <c r="CM37" s="39">
        <f t="shared" si="40"/>
        <v>0</v>
      </c>
      <c r="CN37" s="38"/>
      <c r="CO37" s="39">
        <f t="shared" si="41"/>
        <v>0</v>
      </c>
      <c r="CP37" s="38"/>
      <c r="CQ37" s="39">
        <f t="shared" si="42"/>
        <v>0</v>
      </c>
      <c r="CR37" s="38"/>
      <c r="CS37" s="39">
        <f t="shared" si="43"/>
        <v>0</v>
      </c>
      <c r="CT37" s="38"/>
      <c r="CU37" s="39">
        <f t="shared" si="44"/>
        <v>0</v>
      </c>
      <c r="CV37" s="40"/>
      <c r="CW37" s="36"/>
      <c r="CX37" s="37">
        <f t="shared" si="45"/>
        <v>0</v>
      </c>
      <c r="CY37" s="38"/>
      <c r="CZ37" s="39">
        <f t="shared" si="46"/>
        <v>0</v>
      </c>
      <c r="DA37" s="38"/>
      <c r="DB37" s="39">
        <f t="shared" si="47"/>
        <v>0</v>
      </c>
      <c r="DC37" s="38"/>
      <c r="DD37" s="39">
        <f t="shared" si="48"/>
        <v>0</v>
      </c>
      <c r="DE37" s="38"/>
      <c r="DF37" s="39">
        <f t="shared" si="49"/>
        <v>0</v>
      </c>
      <c r="DG37" s="38"/>
      <c r="DH37" s="39">
        <f t="shared" si="50"/>
        <v>0</v>
      </c>
      <c r="DI37" s="41">
        <f t="shared" si="55"/>
        <v>0</v>
      </c>
      <c r="DJ37" s="41">
        <f t="shared" ref="DJ37:DJ60" si="60">K37+X37+AK37+AX37+BK37+BX37+CK37+CX37</f>
        <v>0</v>
      </c>
      <c r="DK37" s="41">
        <f t="shared" ref="DK37:DK60" si="61">M37+O37+Q37+S37+U37+Z37+AB37+AD37+AF37+AH37+AM37+AO37+AQ37+AS37+AU37+AZ37+BB37+BD37+BF37+BH37+BM37+BO37+BQ37+BS37+BU37+BZ37+CB37+CD37+CF37+CH37+CM37+CO37+CQ37+CS37+CU37+CZ37+DB37+DD37+DF37+DH37</f>
        <v>0</v>
      </c>
      <c r="DL37" s="16">
        <f t="shared" si="52"/>
        <v>0</v>
      </c>
    </row>
    <row r="38" spans="1:116" x14ac:dyDescent="0.25">
      <c r="B38" s="46" t="s">
        <v>32</v>
      </c>
      <c r="C38" s="42" t="s">
        <v>33</v>
      </c>
      <c r="D38" s="53">
        <v>11000</v>
      </c>
      <c r="E38" s="224">
        <f>H38*$K$81</f>
        <v>275.50799999999998</v>
      </c>
      <c r="F38" s="34">
        <v>2860000</v>
      </c>
      <c r="G38" s="40"/>
      <c r="H38" s="195">
        <v>270</v>
      </c>
      <c r="I38" s="40"/>
      <c r="J38" s="36"/>
      <c r="K38" s="37">
        <f t="shared" si="3"/>
        <v>0</v>
      </c>
      <c r="L38" s="38"/>
      <c r="M38" s="39">
        <f t="shared" si="4"/>
        <v>0</v>
      </c>
      <c r="N38" s="38"/>
      <c r="O38" s="39">
        <f t="shared" si="5"/>
        <v>0</v>
      </c>
      <c r="P38" s="38"/>
      <c r="Q38" s="39">
        <f t="shared" si="6"/>
        <v>0</v>
      </c>
      <c r="R38" s="38"/>
      <c r="S38" s="39">
        <f t="shared" si="7"/>
        <v>0</v>
      </c>
      <c r="T38" s="38"/>
      <c r="U38" s="39">
        <f t="shared" si="8"/>
        <v>0</v>
      </c>
      <c r="V38" s="40"/>
      <c r="W38" s="36"/>
      <c r="X38" s="37">
        <f t="shared" si="9"/>
        <v>0</v>
      </c>
      <c r="Y38" s="38"/>
      <c r="Z38" s="39">
        <f t="shared" si="10"/>
        <v>0</v>
      </c>
      <c r="AA38" s="38"/>
      <c r="AB38" s="39">
        <f t="shared" si="11"/>
        <v>0</v>
      </c>
      <c r="AC38" s="38"/>
      <c r="AD38" s="39">
        <f t="shared" si="12"/>
        <v>0</v>
      </c>
      <c r="AE38" s="38"/>
      <c r="AF38" s="39">
        <f t="shared" si="13"/>
        <v>0</v>
      </c>
      <c r="AG38" s="38"/>
      <c r="AH38" s="39">
        <f t="shared" si="14"/>
        <v>0</v>
      </c>
      <c r="AI38" s="40"/>
      <c r="AJ38" s="36"/>
      <c r="AK38" s="37">
        <f t="shared" si="15"/>
        <v>0</v>
      </c>
      <c r="AL38" s="38"/>
      <c r="AM38" s="39">
        <f t="shared" si="16"/>
        <v>0</v>
      </c>
      <c r="AN38" s="38"/>
      <c r="AO38" s="39">
        <f t="shared" si="17"/>
        <v>0</v>
      </c>
      <c r="AP38" s="38"/>
      <c r="AQ38" s="39">
        <f t="shared" si="18"/>
        <v>0</v>
      </c>
      <c r="AR38" s="38"/>
      <c r="AS38" s="39">
        <f t="shared" si="19"/>
        <v>0</v>
      </c>
      <c r="AT38" s="38"/>
      <c r="AU38" s="39">
        <f t="shared" si="20"/>
        <v>0</v>
      </c>
      <c r="AV38" s="40"/>
      <c r="AW38" s="36"/>
      <c r="AX38" s="37">
        <f t="shared" si="21"/>
        <v>0</v>
      </c>
      <c r="AY38" s="38"/>
      <c r="AZ38" s="39">
        <f t="shared" si="22"/>
        <v>0</v>
      </c>
      <c r="BA38" s="38"/>
      <c r="BB38" s="39">
        <f t="shared" si="23"/>
        <v>0</v>
      </c>
      <c r="BC38" s="38"/>
      <c r="BD38" s="39">
        <f t="shared" si="24"/>
        <v>0</v>
      </c>
      <c r="BE38" s="38"/>
      <c r="BF38" s="39">
        <f t="shared" si="25"/>
        <v>0</v>
      </c>
      <c r="BG38" s="38"/>
      <c r="BH38" s="39">
        <f t="shared" si="26"/>
        <v>0</v>
      </c>
      <c r="BI38" s="40"/>
      <c r="BJ38" s="36"/>
      <c r="BK38" s="37">
        <f t="shared" si="27"/>
        <v>0</v>
      </c>
      <c r="BL38" s="38"/>
      <c r="BM38" s="39">
        <f t="shared" si="28"/>
        <v>0</v>
      </c>
      <c r="BN38" s="38"/>
      <c r="BO38" s="39">
        <f t="shared" si="29"/>
        <v>0</v>
      </c>
      <c r="BP38" s="38"/>
      <c r="BQ38" s="39">
        <f t="shared" si="30"/>
        <v>0</v>
      </c>
      <c r="BR38" s="38"/>
      <c r="BS38" s="39">
        <f t="shared" si="31"/>
        <v>0</v>
      </c>
      <c r="BT38" s="38"/>
      <c r="BU38" s="39">
        <f t="shared" si="32"/>
        <v>0</v>
      </c>
      <c r="BV38" s="40"/>
      <c r="BW38" s="36"/>
      <c r="BX38" s="37">
        <f t="shared" si="33"/>
        <v>0</v>
      </c>
      <c r="BY38" s="38"/>
      <c r="BZ38" s="39">
        <f t="shared" si="34"/>
        <v>0</v>
      </c>
      <c r="CA38" s="38"/>
      <c r="CB38" s="39">
        <f t="shared" si="35"/>
        <v>0</v>
      </c>
      <c r="CC38" s="38"/>
      <c r="CD38" s="39">
        <f t="shared" si="36"/>
        <v>0</v>
      </c>
      <c r="CE38" s="38"/>
      <c r="CF38" s="39">
        <f t="shared" si="58"/>
        <v>0</v>
      </c>
      <c r="CG38" s="38"/>
      <c r="CH38" s="39">
        <f t="shared" si="59"/>
        <v>0</v>
      </c>
      <c r="CI38" s="40"/>
      <c r="CJ38" s="36"/>
      <c r="CK38" s="37">
        <f t="shared" si="39"/>
        <v>0</v>
      </c>
      <c r="CL38" s="38"/>
      <c r="CM38" s="39">
        <f t="shared" si="40"/>
        <v>0</v>
      </c>
      <c r="CN38" s="38"/>
      <c r="CO38" s="39">
        <f t="shared" si="41"/>
        <v>0</v>
      </c>
      <c r="CP38" s="38"/>
      <c r="CQ38" s="39">
        <f t="shared" si="42"/>
        <v>0</v>
      </c>
      <c r="CR38" s="38"/>
      <c r="CS38" s="39">
        <f t="shared" si="43"/>
        <v>0</v>
      </c>
      <c r="CT38" s="38"/>
      <c r="CU38" s="39">
        <f t="shared" si="44"/>
        <v>0</v>
      </c>
      <c r="CV38" s="40"/>
      <c r="CW38" s="36">
        <v>1</v>
      </c>
      <c r="CX38" s="37">
        <f t="shared" si="45"/>
        <v>2860000</v>
      </c>
      <c r="CY38" s="38">
        <v>0.2</v>
      </c>
      <c r="CZ38" s="39">
        <f t="shared" si="46"/>
        <v>572000</v>
      </c>
      <c r="DA38" s="38">
        <v>0.15</v>
      </c>
      <c r="DB38" s="39">
        <f t="shared" si="47"/>
        <v>429000</v>
      </c>
      <c r="DC38" s="38">
        <v>0.25</v>
      </c>
      <c r="DD38" s="39">
        <f t="shared" si="48"/>
        <v>715000</v>
      </c>
      <c r="DE38" s="38">
        <v>0.4</v>
      </c>
      <c r="DF38" s="39">
        <f t="shared" si="49"/>
        <v>1144000</v>
      </c>
      <c r="DG38" s="38"/>
      <c r="DH38" s="39">
        <f t="shared" si="50"/>
        <v>0</v>
      </c>
      <c r="DI38" s="41">
        <f t="shared" si="55"/>
        <v>2860000</v>
      </c>
      <c r="DJ38" s="41">
        <f t="shared" si="60"/>
        <v>2860000</v>
      </c>
      <c r="DK38" s="41">
        <f t="shared" si="61"/>
        <v>2860000</v>
      </c>
      <c r="DL38" s="16">
        <f t="shared" si="52"/>
        <v>0</v>
      </c>
    </row>
    <row r="39" spans="1:116" x14ac:dyDescent="0.25">
      <c r="B39" s="46" t="s">
        <v>34</v>
      </c>
      <c r="C39" s="42" t="s">
        <v>33</v>
      </c>
      <c r="D39" s="53">
        <v>11000</v>
      </c>
      <c r="E39" s="34">
        <f>$K$70</f>
        <v>-108.3695731319762</v>
      </c>
      <c r="F39" s="34">
        <f t="shared" ref="F39" si="62">D39*E39</f>
        <v>-1192065.3044517383</v>
      </c>
      <c r="G39" s="40"/>
      <c r="H39" s="195">
        <v>-123.79</v>
      </c>
      <c r="I39" s="40"/>
      <c r="J39" s="36"/>
      <c r="K39" s="37">
        <f t="shared" si="3"/>
        <v>0</v>
      </c>
      <c r="L39" s="38"/>
      <c r="M39" s="39">
        <f t="shared" si="4"/>
        <v>0</v>
      </c>
      <c r="N39" s="38"/>
      <c r="O39" s="39">
        <f t="shared" si="5"/>
        <v>0</v>
      </c>
      <c r="P39" s="38"/>
      <c r="Q39" s="39">
        <f t="shared" si="6"/>
        <v>0</v>
      </c>
      <c r="R39" s="38"/>
      <c r="S39" s="39">
        <f t="shared" si="7"/>
        <v>0</v>
      </c>
      <c r="T39" s="38"/>
      <c r="U39" s="39">
        <f t="shared" si="8"/>
        <v>0</v>
      </c>
      <c r="V39" s="40"/>
      <c r="W39" s="36"/>
      <c r="X39" s="37">
        <f t="shared" si="9"/>
        <v>0</v>
      </c>
      <c r="Y39" s="38"/>
      <c r="Z39" s="39">
        <f t="shared" si="10"/>
        <v>0</v>
      </c>
      <c r="AA39" s="38"/>
      <c r="AB39" s="39">
        <f t="shared" si="11"/>
        <v>0</v>
      </c>
      <c r="AC39" s="38"/>
      <c r="AD39" s="39">
        <f t="shared" si="12"/>
        <v>0</v>
      </c>
      <c r="AE39" s="38"/>
      <c r="AF39" s="39">
        <f t="shared" si="13"/>
        <v>0</v>
      </c>
      <c r="AG39" s="38"/>
      <c r="AH39" s="39">
        <f t="shared" si="14"/>
        <v>0</v>
      </c>
      <c r="AI39" s="40"/>
      <c r="AJ39" s="36"/>
      <c r="AK39" s="37">
        <f t="shared" si="15"/>
        <v>0</v>
      </c>
      <c r="AL39" s="38"/>
      <c r="AM39" s="39">
        <f t="shared" si="16"/>
        <v>0</v>
      </c>
      <c r="AN39" s="38"/>
      <c r="AO39" s="39">
        <f t="shared" si="17"/>
        <v>0</v>
      </c>
      <c r="AP39" s="38"/>
      <c r="AQ39" s="39">
        <f t="shared" si="18"/>
        <v>0</v>
      </c>
      <c r="AR39" s="38"/>
      <c r="AS39" s="39">
        <f t="shared" si="19"/>
        <v>0</v>
      </c>
      <c r="AT39" s="38"/>
      <c r="AU39" s="39">
        <f t="shared" si="20"/>
        <v>0</v>
      </c>
      <c r="AV39" s="40"/>
      <c r="AW39" s="36"/>
      <c r="AX39" s="37">
        <f t="shared" si="21"/>
        <v>0</v>
      </c>
      <c r="AY39" s="38"/>
      <c r="AZ39" s="39">
        <f t="shared" si="22"/>
        <v>0</v>
      </c>
      <c r="BA39" s="38"/>
      <c r="BB39" s="39">
        <f t="shared" si="23"/>
        <v>0</v>
      </c>
      <c r="BC39" s="38"/>
      <c r="BD39" s="39">
        <f t="shared" si="24"/>
        <v>0</v>
      </c>
      <c r="BE39" s="38"/>
      <c r="BF39" s="39">
        <f t="shared" si="25"/>
        <v>0</v>
      </c>
      <c r="BG39" s="38"/>
      <c r="BH39" s="39">
        <f t="shared" si="26"/>
        <v>0</v>
      </c>
      <c r="BI39" s="40"/>
      <c r="BJ39" s="36"/>
      <c r="BK39" s="37">
        <f t="shared" si="27"/>
        <v>0</v>
      </c>
      <c r="BL39" s="38"/>
      <c r="BM39" s="39">
        <f t="shared" si="28"/>
        <v>0</v>
      </c>
      <c r="BN39" s="38"/>
      <c r="BO39" s="39">
        <f t="shared" si="29"/>
        <v>0</v>
      </c>
      <c r="BP39" s="38"/>
      <c r="BQ39" s="39">
        <f t="shared" si="30"/>
        <v>0</v>
      </c>
      <c r="BR39" s="38"/>
      <c r="BS39" s="39">
        <f t="shared" si="31"/>
        <v>0</v>
      </c>
      <c r="BT39" s="38"/>
      <c r="BU39" s="39">
        <f t="shared" si="32"/>
        <v>0</v>
      </c>
      <c r="BV39" s="40"/>
      <c r="BW39" s="36"/>
      <c r="BX39" s="37">
        <f t="shared" si="33"/>
        <v>0</v>
      </c>
      <c r="BY39" s="38"/>
      <c r="BZ39" s="39">
        <f t="shared" si="34"/>
        <v>0</v>
      </c>
      <c r="CA39" s="38"/>
      <c r="CB39" s="39">
        <f t="shared" si="35"/>
        <v>0</v>
      </c>
      <c r="CC39" s="38"/>
      <c r="CD39" s="39">
        <f t="shared" si="36"/>
        <v>0</v>
      </c>
      <c r="CE39" s="38"/>
      <c r="CF39" s="39">
        <f t="shared" si="58"/>
        <v>0</v>
      </c>
      <c r="CG39" s="38"/>
      <c r="CH39" s="39">
        <f t="shared" si="59"/>
        <v>0</v>
      </c>
      <c r="CI39" s="40"/>
      <c r="CJ39" s="36"/>
      <c r="CK39" s="37">
        <f t="shared" si="39"/>
        <v>0</v>
      </c>
      <c r="CL39" s="38"/>
      <c r="CM39" s="39">
        <f t="shared" si="40"/>
        <v>0</v>
      </c>
      <c r="CN39" s="38"/>
      <c r="CO39" s="39">
        <f t="shared" si="41"/>
        <v>0</v>
      </c>
      <c r="CP39" s="38"/>
      <c r="CQ39" s="39">
        <f t="shared" si="42"/>
        <v>0</v>
      </c>
      <c r="CR39" s="38"/>
      <c r="CS39" s="39">
        <f t="shared" si="43"/>
        <v>0</v>
      </c>
      <c r="CT39" s="38"/>
      <c r="CU39" s="39">
        <f t="shared" si="44"/>
        <v>0</v>
      </c>
      <c r="CV39" s="40"/>
      <c r="CW39" s="36">
        <v>1</v>
      </c>
      <c r="CX39" s="37">
        <f t="shared" si="45"/>
        <v>-1192065.3044517383</v>
      </c>
      <c r="CY39" s="38">
        <v>0.2</v>
      </c>
      <c r="CZ39" s="39">
        <f t="shared" si="46"/>
        <v>-238413.06089034767</v>
      </c>
      <c r="DA39" s="38">
        <v>0.15</v>
      </c>
      <c r="DB39" s="39">
        <f t="shared" si="47"/>
        <v>-178809.79566776074</v>
      </c>
      <c r="DC39" s="38">
        <v>0.25</v>
      </c>
      <c r="DD39" s="39">
        <f t="shared" si="48"/>
        <v>-298016.32611293456</v>
      </c>
      <c r="DE39" s="38">
        <v>0.4</v>
      </c>
      <c r="DF39" s="39">
        <f t="shared" si="49"/>
        <v>-476826.12178069534</v>
      </c>
      <c r="DG39" s="38"/>
      <c r="DH39" s="39">
        <f t="shared" si="50"/>
        <v>0</v>
      </c>
      <c r="DI39" s="41">
        <f t="shared" si="55"/>
        <v>-1192065.3044517383</v>
      </c>
      <c r="DJ39" s="41">
        <f t="shared" si="60"/>
        <v>-1192065.3044517383</v>
      </c>
      <c r="DK39" s="41">
        <f t="shared" si="61"/>
        <v>-1192065.3044517383</v>
      </c>
      <c r="DL39" s="16">
        <f t="shared" si="52"/>
        <v>0</v>
      </c>
    </row>
    <row r="40" spans="1:116" x14ac:dyDescent="0.25">
      <c r="C40" s="45"/>
      <c r="D40" s="53"/>
      <c r="E40" s="50"/>
      <c r="F40" s="34">
        <v>0</v>
      </c>
      <c r="G40" s="40"/>
      <c r="H40" s="195">
        <v>0</v>
      </c>
      <c r="I40" s="40"/>
      <c r="J40" s="36"/>
      <c r="K40" s="37">
        <f t="shared" si="3"/>
        <v>0</v>
      </c>
      <c r="L40" s="38"/>
      <c r="M40" s="39">
        <f t="shared" si="4"/>
        <v>0</v>
      </c>
      <c r="N40" s="38"/>
      <c r="O40" s="39">
        <f t="shared" si="5"/>
        <v>0</v>
      </c>
      <c r="P40" s="38"/>
      <c r="Q40" s="39">
        <f t="shared" si="6"/>
        <v>0</v>
      </c>
      <c r="R40" s="38"/>
      <c r="S40" s="39">
        <f t="shared" si="7"/>
        <v>0</v>
      </c>
      <c r="T40" s="38"/>
      <c r="U40" s="39">
        <f t="shared" si="8"/>
        <v>0</v>
      </c>
      <c r="V40" s="40"/>
      <c r="W40" s="36"/>
      <c r="X40" s="37">
        <f t="shared" si="9"/>
        <v>0</v>
      </c>
      <c r="Y40" s="38"/>
      <c r="Z40" s="39">
        <f t="shared" si="10"/>
        <v>0</v>
      </c>
      <c r="AA40" s="38"/>
      <c r="AB40" s="39">
        <f t="shared" si="11"/>
        <v>0</v>
      </c>
      <c r="AC40" s="38"/>
      <c r="AD40" s="39">
        <f t="shared" si="12"/>
        <v>0</v>
      </c>
      <c r="AE40" s="38"/>
      <c r="AF40" s="39">
        <f t="shared" si="13"/>
        <v>0</v>
      </c>
      <c r="AG40" s="38"/>
      <c r="AH40" s="39">
        <f t="shared" si="14"/>
        <v>0</v>
      </c>
      <c r="AI40" s="40"/>
      <c r="AJ40" s="36"/>
      <c r="AK40" s="37">
        <f t="shared" si="15"/>
        <v>0</v>
      </c>
      <c r="AL40" s="38"/>
      <c r="AM40" s="39">
        <f t="shared" si="16"/>
        <v>0</v>
      </c>
      <c r="AN40" s="38"/>
      <c r="AO40" s="39">
        <f t="shared" si="17"/>
        <v>0</v>
      </c>
      <c r="AP40" s="38"/>
      <c r="AQ40" s="39">
        <f t="shared" si="18"/>
        <v>0</v>
      </c>
      <c r="AR40" s="38"/>
      <c r="AS40" s="39">
        <f t="shared" si="19"/>
        <v>0</v>
      </c>
      <c r="AT40" s="38"/>
      <c r="AU40" s="39">
        <f t="shared" si="20"/>
        <v>0</v>
      </c>
      <c r="AV40" s="40"/>
      <c r="AW40" s="36"/>
      <c r="AX40" s="37">
        <f t="shared" si="21"/>
        <v>0</v>
      </c>
      <c r="AY40" s="38"/>
      <c r="AZ40" s="39">
        <f t="shared" si="22"/>
        <v>0</v>
      </c>
      <c r="BA40" s="38"/>
      <c r="BB40" s="39">
        <f t="shared" si="23"/>
        <v>0</v>
      </c>
      <c r="BC40" s="38"/>
      <c r="BD40" s="39">
        <f t="shared" si="24"/>
        <v>0</v>
      </c>
      <c r="BE40" s="38"/>
      <c r="BF40" s="39">
        <f t="shared" si="25"/>
        <v>0</v>
      </c>
      <c r="BG40" s="38"/>
      <c r="BH40" s="39">
        <f t="shared" si="26"/>
        <v>0</v>
      </c>
      <c r="BI40" s="40"/>
      <c r="BJ40" s="36"/>
      <c r="BK40" s="37">
        <f t="shared" si="27"/>
        <v>0</v>
      </c>
      <c r="BL40" s="38"/>
      <c r="BM40" s="39">
        <f t="shared" si="28"/>
        <v>0</v>
      </c>
      <c r="BN40" s="38"/>
      <c r="BO40" s="39">
        <f t="shared" si="29"/>
        <v>0</v>
      </c>
      <c r="BP40" s="38"/>
      <c r="BQ40" s="39">
        <f t="shared" si="30"/>
        <v>0</v>
      </c>
      <c r="BR40" s="38"/>
      <c r="BS40" s="39">
        <f t="shared" si="31"/>
        <v>0</v>
      </c>
      <c r="BT40" s="38"/>
      <c r="BU40" s="39">
        <f t="shared" si="32"/>
        <v>0</v>
      </c>
      <c r="BV40" s="40"/>
      <c r="BW40" s="36"/>
      <c r="BX40" s="37">
        <f t="shared" si="33"/>
        <v>0</v>
      </c>
      <c r="BY40" s="38"/>
      <c r="BZ40" s="39">
        <f t="shared" si="34"/>
        <v>0</v>
      </c>
      <c r="CA40" s="38"/>
      <c r="CB40" s="39">
        <f t="shared" si="35"/>
        <v>0</v>
      </c>
      <c r="CC40" s="38"/>
      <c r="CD40" s="39">
        <f t="shared" si="36"/>
        <v>0</v>
      </c>
      <c r="CE40" s="38"/>
      <c r="CF40" s="39">
        <f t="shared" si="58"/>
        <v>0</v>
      </c>
      <c r="CG40" s="38"/>
      <c r="CH40" s="39">
        <f t="shared" si="59"/>
        <v>0</v>
      </c>
      <c r="CI40" s="40"/>
      <c r="CJ40" s="36"/>
      <c r="CK40" s="37">
        <f t="shared" si="39"/>
        <v>0</v>
      </c>
      <c r="CL40" s="38"/>
      <c r="CM40" s="39">
        <f t="shared" si="40"/>
        <v>0</v>
      </c>
      <c r="CN40" s="38"/>
      <c r="CO40" s="39">
        <f t="shared" si="41"/>
        <v>0</v>
      </c>
      <c r="CP40" s="38"/>
      <c r="CQ40" s="39">
        <f t="shared" si="42"/>
        <v>0</v>
      </c>
      <c r="CR40" s="38"/>
      <c r="CS40" s="39">
        <f t="shared" si="43"/>
        <v>0</v>
      </c>
      <c r="CT40" s="38"/>
      <c r="CU40" s="39">
        <f t="shared" si="44"/>
        <v>0</v>
      </c>
      <c r="CV40" s="40"/>
      <c r="CW40" s="36"/>
      <c r="CX40" s="37">
        <f t="shared" si="45"/>
        <v>0</v>
      </c>
      <c r="CY40" s="38"/>
      <c r="CZ40" s="39">
        <f t="shared" si="46"/>
        <v>0</v>
      </c>
      <c r="DA40" s="38"/>
      <c r="DB40" s="39">
        <f t="shared" si="47"/>
        <v>0</v>
      </c>
      <c r="DC40" s="38"/>
      <c r="DD40" s="39">
        <f t="shared" si="48"/>
        <v>0</v>
      </c>
      <c r="DE40" s="38"/>
      <c r="DF40" s="39">
        <f t="shared" si="49"/>
        <v>0</v>
      </c>
      <c r="DG40" s="38"/>
      <c r="DH40" s="39">
        <f t="shared" si="50"/>
        <v>0</v>
      </c>
      <c r="DI40" s="41">
        <f t="shared" si="55"/>
        <v>0</v>
      </c>
      <c r="DJ40" s="41">
        <f t="shared" si="60"/>
        <v>0</v>
      </c>
      <c r="DK40" s="41">
        <f t="shared" si="61"/>
        <v>0</v>
      </c>
      <c r="DL40" s="16">
        <f t="shared" si="52"/>
        <v>0</v>
      </c>
    </row>
    <row r="41" spans="1:116" x14ac:dyDescent="0.25">
      <c r="A41" s="1" t="s">
        <v>185</v>
      </c>
      <c r="C41" s="45"/>
      <c r="D41" s="53"/>
      <c r="E41" s="50"/>
      <c r="F41" s="34">
        <v>0</v>
      </c>
      <c r="G41" s="40"/>
      <c r="H41" s="195">
        <v>0</v>
      </c>
      <c r="I41" s="40"/>
      <c r="J41" s="36"/>
      <c r="K41" s="37">
        <f t="shared" si="3"/>
        <v>0</v>
      </c>
      <c r="L41" s="38"/>
      <c r="M41" s="39">
        <f t="shared" si="4"/>
        <v>0</v>
      </c>
      <c r="N41" s="38"/>
      <c r="O41" s="39">
        <f t="shared" si="5"/>
        <v>0</v>
      </c>
      <c r="P41" s="38"/>
      <c r="Q41" s="39">
        <f t="shared" si="6"/>
        <v>0</v>
      </c>
      <c r="R41" s="38"/>
      <c r="S41" s="39">
        <f t="shared" si="7"/>
        <v>0</v>
      </c>
      <c r="T41" s="38"/>
      <c r="U41" s="39">
        <f t="shared" si="8"/>
        <v>0</v>
      </c>
      <c r="V41" s="40"/>
      <c r="W41" s="36"/>
      <c r="X41" s="37">
        <f t="shared" si="9"/>
        <v>0</v>
      </c>
      <c r="Y41" s="38"/>
      <c r="Z41" s="39">
        <f t="shared" si="10"/>
        <v>0</v>
      </c>
      <c r="AA41" s="38"/>
      <c r="AB41" s="39">
        <f t="shared" si="11"/>
        <v>0</v>
      </c>
      <c r="AC41" s="38"/>
      <c r="AD41" s="39">
        <f t="shared" si="12"/>
        <v>0</v>
      </c>
      <c r="AE41" s="38"/>
      <c r="AF41" s="39">
        <f t="shared" si="13"/>
        <v>0</v>
      </c>
      <c r="AG41" s="38"/>
      <c r="AH41" s="39">
        <f t="shared" si="14"/>
        <v>0</v>
      </c>
      <c r="AI41" s="40"/>
      <c r="AJ41" s="36"/>
      <c r="AK41" s="37">
        <f t="shared" si="15"/>
        <v>0</v>
      </c>
      <c r="AL41" s="38"/>
      <c r="AM41" s="39">
        <f t="shared" si="16"/>
        <v>0</v>
      </c>
      <c r="AN41" s="38"/>
      <c r="AO41" s="39">
        <f t="shared" si="17"/>
        <v>0</v>
      </c>
      <c r="AP41" s="38"/>
      <c r="AQ41" s="39">
        <f t="shared" si="18"/>
        <v>0</v>
      </c>
      <c r="AR41" s="38"/>
      <c r="AS41" s="39">
        <f t="shared" si="19"/>
        <v>0</v>
      </c>
      <c r="AT41" s="38"/>
      <c r="AU41" s="39">
        <f t="shared" si="20"/>
        <v>0</v>
      </c>
      <c r="AV41" s="40"/>
      <c r="AW41" s="36"/>
      <c r="AX41" s="37">
        <f t="shared" si="21"/>
        <v>0</v>
      </c>
      <c r="AY41" s="38"/>
      <c r="AZ41" s="39">
        <f t="shared" si="22"/>
        <v>0</v>
      </c>
      <c r="BA41" s="38"/>
      <c r="BB41" s="39">
        <f t="shared" si="23"/>
        <v>0</v>
      </c>
      <c r="BC41" s="38"/>
      <c r="BD41" s="39">
        <f t="shared" si="24"/>
        <v>0</v>
      </c>
      <c r="BE41" s="38"/>
      <c r="BF41" s="39">
        <f t="shared" si="25"/>
        <v>0</v>
      </c>
      <c r="BG41" s="38"/>
      <c r="BH41" s="39">
        <f t="shared" si="26"/>
        <v>0</v>
      </c>
      <c r="BI41" s="40"/>
      <c r="BJ41" s="36"/>
      <c r="BK41" s="37">
        <f t="shared" si="27"/>
        <v>0</v>
      </c>
      <c r="BL41" s="38"/>
      <c r="BM41" s="39">
        <f t="shared" si="28"/>
        <v>0</v>
      </c>
      <c r="BN41" s="38"/>
      <c r="BO41" s="39">
        <f t="shared" si="29"/>
        <v>0</v>
      </c>
      <c r="BP41" s="38"/>
      <c r="BQ41" s="39">
        <f t="shared" si="30"/>
        <v>0</v>
      </c>
      <c r="BR41" s="38"/>
      <c r="BS41" s="39">
        <f t="shared" si="31"/>
        <v>0</v>
      </c>
      <c r="BT41" s="38"/>
      <c r="BU41" s="39">
        <f t="shared" si="32"/>
        <v>0</v>
      </c>
      <c r="BV41" s="40"/>
      <c r="BW41" s="36"/>
      <c r="BX41" s="37">
        <f t="shared" si="33"/>
        <v>0</v>
      </c>
      <c r="BY41" s="38"/>
      <c r="BZ41" s="39">
        <f t="shared" si="34"/>
        <v>0</v>
      </c>
      <c r="CA41" s="38"/>
      <c r="CB41" s="39">
        <f t="shared" si="35"/>
        <v>0</v>
      </c>
      <c r="CC41" s="38"/>
      <c r="CD41" s="39">
        <f t="shared" si="36"/>
        <v>0</v>
      </c>
      <c r="CE41" s="38"/>
      <c r="CF41" s="39">
        <f t="shared" si="58"/>
        <v>0</v>
      </c>
      <c r="CG41" s="38"/>
      <c r="CH41" s="39">
        <f t="shared" si="59"/>
        <v>0</v>
      </c>
      <c r="CI41" s="40"/>
      <c r="CJ41" s="36"/>
      <c r="CK41" s="37">
        <f t="shared" si="39"/>
        <v>0</v>
      </c>
      <c r="CL41" s="38"/>
      <c r="CM41" s="39">
        <f t="shared" si="40"/>
        <v>0</v>
      </c>
      <c r="CN41" s="38"/>
      <c r="CO41" s="39">
        <f t="shared" si="41"/>
        <v>0</v>
      </c>
      <c r="CP41" s="38"/>
      <c r="CQ41" s="39">
        <f t="shared" si="42"/>
        <v>0</v>
      </c>
      <c r="CR41" s="38"/>
      <c r="CS41" s="39">
        <f t="shared" si="43"/>
        <v>0</v>
      </c>
      <c r="CT41" s="38"/>
      <c r="CU41" s="39">
        <f t="shared" si="44"/>
        <v>0</v>
      </c>
      <c r="CV41" s="40"/>
      <c r="CW41" s="36"/>
      <c r="CX41" s="37">
        <f t="shared" si="45"/>
        <v>0</v>
      </c>
      <c r="CY41" s="38"/>
      <c r="CZ41" s="39">
        <f t="shared" si="46"/>
        <v>0</v>
      </c>
      <c r="DA41" s="38"/>
      <c r="DB41" s="39">
        <f t="shared" si="47"/>
        <v>0</v>
      </c>
      <c r="DC41" s="38"/>
      <c r="DD41" s="39">
        <f t="shared" si="48"/>
        <v>0</v>
      </c>
      <c r="DE41" s="38"/>
      <c r="DF41" s="39">
        <f t="shared" si="49"/>
        <v>0</v>
      </c>
      <c r="DG41" s="38"/>
      <c r="DH41" s="39">
        <f t="shared" si="50"/>
        <v>0</v>
      </c>
      <c r="DI41" s="41">
        <f t="shared" si="55"/>
        <v>0</v>
      </c>
      <c r="DJ41" s="41">
        <f t="shared" si="60"/>
        <v>0</v>
      </c>
      <c r="DK41" s="41">
        <f t="shared" si="61"/>
        <v>0</v>
      </c>
      <c r="DL41" s="16">
        <f t="shared" si="52"/>
        <v>0</v>
      </c>
    </row>
    <row r="42" spans="1:116" x14ac:dyDescent="0.25">
      <c r="B42" s="44" t="s">
        <v>44</v>
      </c>
      <c r="C42" s="42" t="s">
        <v>33</v>
      </c>
      <c r="D42" s="53">
        <v>5024</v>
      </c>
      <c r="E42" s="224">
        <f>H42*$K$81</f>
        <v>275.50799999999998</v>
      </c>
      <c r="F42" s="34">
        <v>1306240</v>
      </c>
      <c r="G42" s="40"/>
      <c r="H42" s="195">
        <v>270</v>
      </c>
      <c r="I42" s="40"/>
      <c r="J42" s="36"/>
      <c r="K42" s="37">
        <f t="shared" si="3"/>
        <v>0</v>
      </c>
      <c r="L42" s="38"/>
      <c r="M42" s="39">
        <f t="shared" si="4"/>
        <v>0</v>
      </c>
      <c r="N42" s="38"/>
      <c r="O42" s="39">
        <f t="shared" si="5"/>
        <v>0</v>
      </c>
      <c r="P42" s="38"/>
      <c r="Q42" s="39">
        <f t="shared" si="6"/>
        <v>0</v>
      </c>
      <c r="R42" s="38"/>
      <c r="S42" s="39">
        <f t="shared" si="7"/>
        <v>0</v>
      </c>
      <c r="T42" s="38"/>
      <c r="U42" s="39">
        <f t="shared" si="8"/>
        <v>0</v>
      </c>
      <c r="V42" s="40"/>
      <c r="W42" s="36"/>
      <c r="X42" s="37">
        <f t="shared" si="9"/>
        <v>0</v>
      </c>
      <c r="Y42" s="38"/>
      <c r="Z42" s="39">
        <f t="shared" si="10"/>
        <v>0</v>
      </c>
      <c r="AA42" s="38"/>
      <c r="AB42" s="39">
        <f t="shared" si="11"/>
        <v>0</v>
      </c>
      <c r="AC42" s="38"/>
      <c r="AD42" s="39">
        <f t="shared" si="12"/>
        <v>0</v>
      </c>
      <c r="AE42" s="38"/>
      <c r="AF42" s="39">
        <f t="shared" si="13"/>
        <v>0</v>
      </c>
      <c r="AG42" s="38"/>
      <c r="AH42" s="39">
        <f t="shared" si="14"/>
        <v>0</v>
      </c>
      <c r="AI42" s="40"/>
      <c r="AJ42" s="36"/>
      <c r="AK42" s="37">
        <f t="shared" si="15"/>
        <v>0</v>
      </c>
      <c r="AL42" s="38"/>
      <c r="AM42" s="39">
        <f t="shared" si="16"/>
        <v>0</v>
      </c>
      <c r="AN42" s="38"/>
      <c r="AO42" s="39">
        <f t="shared" si="17"/>
        <v>0</v>
      </c>
      <c r="AP42" s="38"/>
      <c r="AQ42" s="39">
        <f t="shared" si="18"/>
        <v>0</v>
      </c>
      <c r="AR42" s="38"/>
      <c r="AS42" s="39">
        <f t="shared" si="19"/>
        <v>0</v>
      </c>
      <c r="AT42" s="38"/>
      <c r="AU42" s="39">
        <f t="shared" si="20"/>
        <v>0</v>
      </c>
      <c r="AV42" s="40"/>
      <c r="AW42" s="36">
        <v>0.95</v>
      </c>
      <c r="AX42" s="37">
        <f t="shared" si="21"/>
        <v>1240928</v>
      </c>
      <c r="AY42" s="38">
        <v>0.1</v>
      </c>
      <c r="AZ42" s="39">
        <f t="shared" si="22"/>
        <v>124092.8</v>
      </c>
      <c r="BA42" s="38">
        <v>0.1</v>
      </c>
      <c r="BB42" s="39">
        <f t="shared" si="23"/>
        <v>124092.8</v>
      </c>
      <c r="BC42" s="38">
        <v>0.15</v>
      </c>
      <c r="BD42" s="39">
        <f t="shared" si="24"/>
        <v>186139.19999999998</v>
      </c>
      <c r="BE42" s="38">
        <v>0.15</v>
      </c>
      <c r="BF42" s="39">
        <f t="shared" si="25"/>
        <v>186139.19999999998</v>
      </c>
      <c r="BG42" s="38">
        <v>0.5</v>
      </c>
      <c r="BH42" s="39">
        <f t="shared" si="26"/>
        <v>620464</v>
      </c>
      <c r="BI42" s="40"/>
      <c r="BJ42" s="36"/>
      <c r="BK42" s="37">
        <f t="shared" si="27"/>
        <v>0</v>
      </c>
      <c r="BL42" s="38"/>
      <c r="BM42" s="39">
        <f t="shared" si="28"/>
        <v>0</v>
      </c>
      <c r="BN42" s="38"/>
      <c r="BO42" s="39">
        <f t="shared" si="29"/>
        <v>0</v>
      </c>
      <c r="BP42" s="38"/>
      <c r="BQ42" s="39">
        <f t="shared" si="30"/>
        <v>0</v>
      </c>
      <c r="BR42" s="38"/>
      <c r="BS42" s="39">
        <f t="shared" si="31"/>
        <v>0</v>
      </c>
      <c r="BT42" s="38"/>
      <c r="BU42" s="39">
        <f t="shared" si="32"/>
        <v>0</v>
      </c>
      <c r="BV42" s="40"/>
      <c r="BW42" s="36">
        <v>0.05</v>
      </c>
      <c r="BX42" s="37">
        <f t="shared" si="33"/>
        <v>65312</v>
      </c>
      <c r="BY42" s="38">
        <v>0.2</v>
      </c>
      <c r="BZ42" s="39">
        <f t="shared" si="34"/>
        <v>13062.400000000001</v>
      </c>
      <c r="CA42" s="38">
        <v>0.15</v>
      </c>
      <c r="CB42" s="39">
        <f t="shared" si="35"/>
        <v>9796.7999999999993</v>
      </c>
      <c r="CC42" s="38">
        <v>0.25</v>
      </c>
      <c r="CD42" s="39">
        <f t="shared" si="36"/>
        <v>16328</v>
      </c>
      <c r="CE42" s="38">
        <v>0.4</v>
      </c>
      <c r="CF42" s="39">
        <f t="shared" si="58"/>
        <v>26124.800000000003</v>
      </c>
      <c r="CG42" s="38"/>
      <c r="CH42" s="39">
        <f t="shared" si="59"/>
        <v>0</v>
      </c>
      <c r="CI42" s="40"/>
      <c r="CJ42" s="36"/>
      <c r="CK42" s="37">
        <f t="shared" si="39"/>
        <v>0</v>
      </c>
      <c r="CL42" s="38"/>
      <c r="CM42" s="39">
        <f t="shared" si="40"/>
        <v>0</v>
      </c>
      <c r="CN42" s="38"/>
      <c r="CO42" s="39">
        <f t="shared" si="41"/>
        <v>0</v>
      </c>
      <c r="CP42" s="38"/>
      <c r="CQ42" s="39">
        <f t="shared" si="42"/>
        <v>0</v>
      </c>
      <c r="CR42" s="38"/>
      <c r="CS42" s="39">
        <f t="shared" si="43"/>
        <v>0</v>
      </c>
      <c r="CT42" s="38"/>
      <c r="CU42" s="39">
        <f t="shared" si="44"/>
        <v>0</v>
      </c>
      <c r="CV42" s="40"/>
      <c r="CW42" s="36"/>
      <c r="CX42" s="37">
        <f t="shared" si="45"/>
        <v>0</v>
      </c>
      <c r="CY42" s="38"/>
      <c r="CZ42" s="39">
        <f t="shared" si="46"/>
        <v>0</v>
      </c>
      <c r="DA42" s="38"/>
      <c r="DB42" s="39">
        <f t="shared" si="47"/>
        <v>0</v>
      </c>
      <c r="DC42" s="38"/>
      <c r="DD42" s="39">
        <f t="shared" si="48"/>
        <v>0</v>
      </c>
      <c r="DE42" s="38"/>
      <c r="DF42" s="39">
        <f t="shared" si="49"/>
        <v>0</v>
      </c>
      <c r="DG42" s="38"/>
      <c r="DH42" s="39">
        <f t="shared" si="50"/>
        <v>0</v>
      </c>
      <c r="DI42" s="41">
        <f t="shared" si="55"/>
        <v>1306240</v>
      </c>
      <c r="DJ42" s="41">
        <f t="shared" si="60"/>
        <v>1306240</v>
      </c>
      <c r="DK42" s="41">
        <f t="shared" si="61"/>
        <v>1306240</v>
      </c>
      <c r="DL42" s="16">
        <f t="shared" si="52"/>
        <v>0</v>
      </c>
    </row>
    <row r="43" spans="1:116" x14ac:dyDescent="0.25">
      <c r="B43" s="44" t="s">
        <v>45</v>
      </c>
      <c r="C43" s="42" t="s">
        <v>33</v>
      </c>
      <c r="D43" s="53">
        <v>5024</v>
      </c>
      <c r="E43" s="34">
        <f>$K$70</f>
        <v>-108.3695731319762</v>
      </c>
      <c r="F43" s="34">
        <f t="shared" ref="F43" si="63">D43*E43</f>
        <v>-544448.73541504843</v>
      </c>
      <c r="G43" s="40"/>
      <c r="H43" s="195">
        <v>-123.79</v>
      </c>
      <c r="I43" s="40"/>
      <c r="J43" s="36"/>
      <c r="K43" s="37">
        <f t="shared" si="3"/>
        <v>0</v>
      </c>
      <c r="L43" s="38"/>
      <c r="M43" s="39">
        <f t="shared" si="4"/>
        <v>0</v>
      </c>
      <c r="N43" s="38"/>
      <c r="O43" s="39">
        <f t="shared" si="5"/>
        <v>0</v>
      </c>
      <c r="P43" s="38"/>
      <c r="Q43" s="39">
        <f t="shared" si="6"/>
        <v>0</v>
      </c>
      <c r="R43" s="38"/>
      <c r="S43" s="39">
        <f t="shared" si="7"/>
        <v>0</v>
      </c>
      <c r="T43" s="38"/>
      <c r="U43" s="39">
        <f t="shared" si="8"/>
        <v>0</v>
      </c>
      <c r="V43" s="40"/>
      <c r="W43" s="36"/>
      <c r="X43" s="37">
        <f t="shared" si="9"/>
        <v>0</v>
      </c>
      <c r="Y43" s="38"/>
      <c r="Z43" s="39">
        <f t="shared" si="10"/>
        <v>0</v>
      </c>
      <c r="AA43" s="38"/>
      <c r="AB43" s="39">
        <f t="shared" si="11"/>
        <v>0</v>
      </c>
      <c r="AC43" s="38"/>
      <c r="AD43" s="39">
        <f t="shared" si="12"/>
        <v>0</v>
      </c>
      <c r="AE43" s="38"/>
      <c r="AF43" s="39">
        <f t="shared" si="13"/>
        <v>0</v>
      </c>
      <c r="AG43" s="38"/>
      <c r="AH43" s="39">
        <f t="shared" si="14"/>
        <v>0</v>
      </c>
      <c r="AI43" s="40"/>
      <c r="AJ43" s="36"/>
      <c r="AK43" s="37">
        <f t="shared" si="15"/>
        <v>0</v>
      </c>
      <c r="AL43" s="38"/>
      <c r="AM43" s="39">
        <f t="shared" si="16"/>
        <v>0</v>
      </c>
      <c r="AN43" s="38"/>
      <c r="AO43" s="39">
        <f t="shared" si="17"/>
        <v>0</v>
      </c>
      <c r="AP43" s="38"/>
      <c r="AQ43" s="39">
        <f t="shared" si="18"/>
        <v>0</v>
      </c>
      <c r="AR43" s="38"/>
      <c r="AS43" s="39">
        <f t="shared" si="19"/>
        <v>0</v>
      </c>
      <c r="AT43" s="38"/>
      <c r="AU43" s="39">
        <f t="shared" si="20"/>
        <v>0</v>
      </c>
      <c r="AV43" s="40"/>
      <c r="AW43" s="36">
        <v>0.95</v>
      </c>
      <c r="AX43" s="37">
        <f t="shared" si="21"/>
        <v>-517226.29864429601</v>
      </c>
      <c r="AY43" s="38">
        <v>0.1</v>
      </c>
      <c r="AZ43" s="39">
        <f t="shared" si="22"/>
        <v>-51722.629864429604</v>
      </c>
      <c r="BA43" s="38">
        <v>0.1</v>
      </c>
      <c r="BB43" s="39">
        <f t="shared" si="23"/>
        <v>-51722.629864429604</v>
      </c>
      <c r="BC43" s="38">
        <v>0.15</v>
      </c>
      <c r="BD43" s="39">
        <f t="shared" si="24"/>
        <v>-77583.944796644399</v>
      </c>
      <c r="BE43" s="38">
        <v>0.15</v>
      </c>
      <c r="BF43" s="39">
        <f t="shared" si="25"/>
        <v>-77583.944796644399</v>
      </c>
      <c r="BG43" s="38">
        <v>0.5</v>
      </c>
      <c r="BH43" s="39">
        <f t="shared" si="26"/>
        <v>-258613.14932214801</v>
      </c>
      <c r="BI43" s="40"/>
      <c r="BJ43" s="36"/>
      <c r="BK43" s="37">
        <f t="shared" si="27"/>
        <v>0</v>
      </c>
      <c r="BL43" s="38"/>
      <c r="BM43" s="39">
        <f t="shared" si="28"/>
        <v>0</v>
      </c>
      <c r="BN43" s="38"/>
      <c r="BO43" s="39">
        <f t="shared" si="29"/>
        <v>0</v>
      </c>
      <c r="BP43" s="38"/>
      <c r="BQ43" s="39">
        <f t="shared" si="30"/>
        <v>0</v>
      </c>
      <c r="BR43" s="38"/>
      <c r="BS43" s="39">
        <f t="shared" si="31"/>
        <v>0</v>
      </c>
      <c r="BT43" s="38"/>
      <c r="BU43" s="39">
        <f t="shared" si="32"/>
        <v>0</v>
      </c>
      <c r="BV43" s="40"/>
      <c r="BW43" s="36">
        <v>0.05</v>
      </c>
      <c r="BX43" s="37">
        <f t="shared" si="33"/>
        <v>-27222.436770752422</v>
      </c>
      <c r="BY43" s="38">
        <v>0.2</v>
      </c>
      <c r="BZ43" s="39">
        <f t="shared" si="34"/>
        <v>-5444.4873541504849</v>
      </c>
      <c r="CA43" s="38">
        <v>0.15</v>
      </c>
      <c r="CB43" s="39">
        <f t="shared" si="35"/>
        <v>-4083.365515612863</v>
      </c>
      <c r="CC43" s="38">
        <v>0.25</v>
      </c>
      <c r="CD43" s="39">
        <f t="shared" si="36"/>
        <v>-6805.6091926881054</v>
      </c>
      <c r="CE43" s="38">
        <v>0.4</v>
      </c>
      <c r="CF43" s="39">
        <f t="shared" si="58"/>
        <v>-10888.97470830097</v>
      </c>
      <c r="CG43" s="38"/>
      <c r="CH43" s="39">
        <f t="shared" si="59"/>
        <v>0</v>
      </c>
      <c r="CI43" s="40"/>
      <c r="CJ43" s="36"/>
      <c r="CK43" s="37">
        <f t="shared" si="39"/>
        <v>0</v>
      </c>
      <c r="CL43" s="38"/>
      <c r="CM43" s="39">
        <f t="shared" si="40"/>
        <v>0</v>
      </c>
      <c r="CN43" s="38"/>
      <c r="CO43" s="39">
        <f t="shared" si="41"/>
        <v>0</v>
      </c>
      <c r="CP43" s="38"/>
      <c r="CQ43" s="39">
        <f t="shared" si="42"/>
        <v>0</v>
      </c>
      <c r="CR43" s="38"/>
      <c r="CS43" s="39">
        <f t="shared" si="43"/>
        <v>0</v>
      </c>
      <c r="CT43" s="38"/>
      <c r="CU43" s="39">
        <f t="shared" si="44"/>
        <v>0</v>
      </c>
      <c r="CV43" s="40"/>
      <c r="CW43" s="36"/>
      <c r="CX43" s="37">
        <f t="shared" si="45"/>
        <v>0</v>
      </c>
      <c r="CY43" s="38"/>
      <c r="CZ43" s="39">
        <f t="shared" si="46"/>
        <v>0</v>
      </c>
      <c r="DA43" s="38"/>
      <c r="DB43" s="39">
        <f t="shared" si="47"/>
        <v>0</v>
      </c>
      <c r="DC43" s="38"/>
      <c r="DD43" s="39">
        <f t="shared" si="48"/>
        <v>0</v>
      </c>
      <c r="DE43" s="38"/>
      <c r="DF43" s="39">
        <f t="shared" si="49"/>
        <v>0</v>
      </c>
      <c r="DG43" s="38"/>
      <c r="DH43" s="39">
        <f t="shared" si="50"/>
        <v>0</v>
      </c>
      <c r="DI43" s="41">
        <f t="shared" si="55"/>
        <v>-544448.73541504843</v>
      </c>
      <c r="DJ43" s="41">
        <f t="shared" si="60"/>
        <v>-544448.73541504843</v>
      </c>
      <c r="DK43" s="41">
        <f t="shared" si="61"/>
        <v>-544448.73541504855</v>
      </c>
      <c r="DL43" s="16">
        <f t="shared" si="52"/>
        <v>1</v>
      </c>
    </row>
    <row r="44" spans="1:116" x14ac:dyDescent="0.25">
      <c r="B44" s="46" t="s">
        <v>186</v>
      </c>
      <c r="C44" s="42" t="s">
        <v>42</v>
      </c>
      <c r="D44" s="53">
        <v>2</v>
      </c>
      <c r="E44" s="34">
        <v>550000</v>
      </c>
      <c r="F44" s="34">
        <v>1100000</v>
      </c>
      <c r="G44" s="40"/>
      <c r="H44" s="195">
        <v>550000</v>
      </c>
      <c r="I44" s="40"/>
      <c r="J44" s="36"/>
      <c r="K44" s="37">
        <f t="shared" si="3"/>
        <v>0</v>
      </c>
      <c r="L44" s="38"/>
      <c r="M44" s="39">
        <f t="shared" si="4"/>
        <v>0</v>
      </c>
      <c r="N44" s="38"/>
      <c r="O44" s="39">
        <f t="shared" si="5"/>
        <v>0</v>
      </c>
      <c r="P44" s="38"/>
      <c r="Q44" s="39">
        <f t="shared" si="6"/>
        <v>0</v>
      </c>
      <c r="R44" s="38"/>
      <c r="S44" s="39">
        <f t="shared" si="7"/>
        <v>0</v>
      </c>
      <c r="T44" s="38"/>
      <c r="U44" s="39">
        <f t="shared" si="8"/>
        <v>0</v>
      </c>
      <c r="V44" s="40"/>
      <c r="W44" s="36"/>
      <c r="X44" s="37">
        <f t="shared" si="9"/>
        <v>0</v>
      </c>
      <c r="Y44" s="38"/>
      <c r="Z44" s="39">
        <f t="shared" si="10"/>
        <v>0</v>
      </c>
      <c r="AA44" s="38"/>
      <c r="AB44" s="39">
        <f t="shared" si="11"/>
        <v>0</v>
      </c>
      <c r="AC44" s="38"/>
      <c r="AD44" s="39">
        <f t="shared" si="12"/>
        <v>0</v>
      </c>
      <c r="AE44" s="38"/>
      <c r="AF44" s="39">
        <f t="shared" si="13"/>
        <v>0</v>
      </c>
      <c r="AG44" s="38"/>
      <c r="AH44" s="39">
        <f t="shared" si="14"/>
        <v>0</v>
      </c>
      <c r="AI44" s="40"/>
      <c r="AJ44" s="36">
        <v>0.8</v>
      </c>
      <c r="AK44" s="37">
        <f t="shared" si="15"/>
        <v>880000</v>
      </c>
      <c r="AL44" s="38">
        <v>0.1</v>
      </c>
      <c r="AM44" s="39">
        <f t="shared" si="16"/>
        <v>88000</v>
      </c>
      <c r="AN44" s="38">
        <v>0.1</v>
      </c>
      <c r="AO44" s="39">
        <f t="shared" si="17"/>
        <v>88000</v>
      </c>
      <c r="AP44" s="38">
        <v>0.15</v>
      </c>
      <c r="AQ44" s="39">
        <f t="shared" si="18"/>
        <v>132000</v>
      </c>
      <c r="AR44" s="38">
        <v>0.15</v>
      </c>
      <c r="AS44" s="39">
        <f t="shared" si="19"/>
        <v>132000</v>
      </c>
      <c r="AT44" s="38">
        <v>0.5</v>
      </c>
      <c r="AU44" s="39">
        <f t="shared" si="20"/>
        <v>440000</v>
      </c>
      <c r="AV44" s="40"/>
      <c r="AW44" s="36">
        <v>0.2</v>
      </c>
      <c r="AX44" s="37">
        <f t="shared" si="21"/>
        <v>220000</v>
      </c>
      <c r="AY44" s="38">
        <v>0.1</v>
      </c>
      <c r="AZ44" s="39">
        <f t="shared" si="22"/>
        <v>22000</v>
      </c>
      <c r="BA44" s="38">
        <v>0.1</v>
      </c>
      <c r="BB44" s="39">
        <f t="shared" si="23"/>
        <v>22000</v>
      </c>
      <c r="BC44" s="38">
        <v>0.15</v>
      </c>
      <c r="BD44" s="39">
        <f t="shared" si="24"/>
        <v>33000</v>
      </c>
      <c r="BE44" s="38">
        <v>0.15</v>
      </c>
      <c r="BF44" s="39">
        <f t="shared" si="25"/>
        <v>33000</v>
      </c>
      <c r="BG44" s="38">
        <v>0.5</v>
      </c>
      <c r="BH44" s="39">
        <f t="shared" si="26"/>
        <v>110000</v>
      </c>
      <c r="BI44" s="40"/>
      <c r="BJ44" s="36"/>
      <c r="BK44" s="37">
        <f t="shared" si="27"/>
        <v>0</v>
      </c>
      <c r="BL44" s="38"/>
      <c r="BM44" s="39">
        <f t="shared" si="28"/>
        <v>0</v>
      </c>
      <c r="BN44" s="38"/>
      <c r="BO44" s="39">
        <f t="shared" si="29"/>
        <v>0</v>
      </c>
      <c r="BP44" s="38"/>
      <c r="BQ44" s="39">
        <f t="shared" si="30"/>
        <v>0</v>
      </c>
      <c r="BR44" s="38"/>
      <c r="BS44" s="39">
        <f t="shared" si="31"/>
        <v>0</v>
      </c>
      <c r="BT44" s="38"/>
      <c r="BU44" s="39">
        <f t="shared" si="32"/>
        <v>0</v>
      </c>
      <c r="BV44" s="40"/>
      <c r="BW44" s="36"/>
      <c r="BX44" s="37">
        <f t="shared" si="33"/>
        <v>0</v>
      </c>
      <c r="BY44" s="38"/>
      <c r="BZ44" s="39">
        <f t="shared" si="34"/>
        <v>0</v>
      </c>
      <c r="CA44" s="38"/>
      <c r="CB44" s="39">
        <f t="shared" si="35"/>
        <v>0</v>
      </c>
      <c r="CC44" s="38"/>
      <c r="CD44" s="39">
        <f t="shared" si="36"/>
        <v>0</v>
      </c>
      <c r="CE44" s="38"/>
      <c r="CF44" s="39">
        <f t="shared" si="58"/>
        <v>0</v>
      </c>
      <c r="CG44" s="38"/>
      <c r="CH44" s="39">
        <f t="shared" si="59"/>
        <v>0</v>
      </c>
      <c r="CI44" s="40"/>
      <c r="CJ44" s="36"/>
      <c r="CK44" s="37">
        <f t="shared" si="39"/>
        <v>0</v>
      </c>
      <c r="CL44" s="38"/>
      <c r="CM44" s="39">
        <f t="shared" si="40"/>
        <v>0</v>
      </c>
      <c r="CN44" s="38"/>
      <c r="CO44" s="39">
        <f t="shared" si="41"/>
        <v>0</v>
      </c>
      <c r="CP44" s="38"/>
      <c r="CQ44" s="39">
        <f t="shared" si="42"/>
        <v>0</v>
      </c>
      <c r="CR44" s="38"/>
      <c r="CS44" s="39">
        <f t="shared" si="43"/>
        <v>0</v>
      </c>
      <c r="CT44" s="38"/>
      <c r="CU44" s="39">
        <f t="shared" si="44"/>
        <v>0</v>
      </c>
      <c r="CV44" s="40"/>
      <c r="CW44" s="36"/>
      <c r="CX44" s="37">
        <f t="shared" si="45"/>
        <v>0</v>
      </c>
      <c r="CY44" s="38"/>
      <c r="CZ44" s="39">
        <f t="shared" si="46"/>
        <v>0</v>
      </c>
      <c r="DA44" s="38"/>
      <c r="DB44" s="39">
        <f t="shared" si="47"/>
        <v>0</v>
      </c>
      <c r="DC44" s="38"/>
      <c r="DD44" s="39">
        <f t="shared" si="48"/>
        <v>0</v>
      </c>
      <c r="DE44" s="38"/>
      <c r="DF44" s="39">
        <f t="shared" si="49"/>
        <v>0</v>
      </c>
      <c r="DG44" s="38"/>
      <c r="DH44" s="39">
        <f t="shared" si="50"/>
        <v>0</v>
      </c>
      <c r="DI44" s="41">
        <f t="shared" si="55"/>
        <v>1100000</v>
      </c>
      <c r="DJ44" s="41">
        <f t="shared" si="60"/>
        <v>1100000</v>
      </c>
      <c r="DK44" s="41">
        <f t="shared" si="61"/>
        <v>1100000</v>
      </c>
      <c r="DL44" s="16">
        <f t="shared" si="52"/>
        <v>0</v>
      </c>
    </row>
    <row r="45" spans="1:116" x14ac:dyDescent="0.25">
      <c r="B45" s="46"/>
      <c r="C45" s="42"/>
      <c r="D45" s="53"/>
      <c r="E45" s="34"/>
      <c r="F45" s="34"/>
      <c r="G45" s="40"/>
      <c r="H45" s="195">
        <v>0</v>
      </c>
      <c r="I45" s="40"/>
      <c r="J45" s="36"/>
      <c r="K45" s="37"/>
      <c r="L45" s="38"/>
      <c r="M45" s="39"/>
      <c r="N45" s="38"/>
      <c r="O45" s="39"/>
      <c r="P45" s="38"/>
      <c r="Q45" s="39"/>
      <c r="R45" s="38"/>
      <c r="S45" s="39"/>
      <c r="T45" s="38"/>
      <c r="U45" s="39"/>
      <c r="V45" s="40"/>
      <c r="W45" s="36"/>
      <c r="X45" s="37"/>
      <c r="Y45" s="38"/>
      <c r="Z45" s="39"/>
      <c r="AA45" s="38"/>
      <c r="AB45" s="39"/>
      <c r="AC45" s="38"/>
      <c r="AD45" s="39"/>
      <c r="AE45" s="38"/>
      <c r="AF45" s="39"/>
      <c r="AG45" s="38"/>
      <c r="AH45" s="39"/>
      <c r="AI45" s="40"/>
      <c r="AJ45" s="36"/>
      <c r="AK45" s="37"/>
      <c r="AL45" s="38"/>
      <c r="AM45" s="39"/>
      <c r="AN45" s="38"/>
      <c r="AO45" s="39"/>
      <c r="AP45" s="38"/>
      <c r="AQ45" s="39"/>
      <c r="AR45" s="38"/>
      <c r="AS45" s="39"/>
      <c r="AT45" s="38"/>
      <c r="AU45" s="39"/>
      <c r="AV45" s="40"/>
      <c r="AW45" s="36"/>
      <c r="AX45" s="37"/>
      <c r="AY45" s="38"/>
      <c r="AZ45" s="39"/>
      <c r="BA45" s="38"/>
      <c r="BB45" s="39"/>
      <c r="BC45" s="38"/>
      <c r="BD45" s="39"/>
      <c r="BE45" s="38"/>
      <c r="BF45" s="39"/>
      <c r="BG45" s="38"/>
      <c r="BH45" s="39"/>
      <c r="BI45" s="40"/>
      <c r="BJ45" s="36"/>
      <c r="BK45" s="37"/>
      <c r="BL45" s="38"/>
      <c r="BM45" s="39"/>
      <c r="BN45" s="38"/>
      <c r="BO45" s="39"/>
      <c r="BP45" s="38"/>
      <c r="BQ45" s="39"/>
      <c r="BR45" s="38"/>
      <c r="BS45" s="39"/>
      <c r="BT45" s="38"/>
      <c r="BU45" s="39"/>
      <c r="BV45" s="40"/>
      <c r="BW45" s="36"/>
      <c r="BX45" s="37"/>
      <c r="BY45" s="38"/>
      <c r="BZ45" s="39"/>
      <c r="CA45" s="38"/>
      <c r="CB45" s="39"/>
      <c r="CC45" s="38"/>
      <c r="CD45" s="39"/>
      <c r="CE45" s="38"/>
      <c r="CF45" s="39"/>
      <c r="CG45" s="38"/>
      <c r="CH45" s="39"/>
      <c r="CI45" s="40"/>
      <c r="CJ45" s="36"/>
      <c r="CK45" s="37"/>
      <c r="CL45" s="38"/>
      <c r="CM45" s="39"/>
      <c r="CN45" s="38"/>
      <c r="CO45" s="39"/>
      <c r="CP45" s="38"/>
      <c r="CQ45" s="39"/>
      <c r="CR45" s="38"/>
      <c r="CS45" s="39"/>
      <c r="CT45" s="38"/>
      <c r="CU45" s="39"/>
      <c r="CV45" s="40"/>
      <c r="CW45" s="36"/>
      <c r="CX45" s="37"/>
      <c r="CY45" s="38"/>
      <c r="CZ45" s="39"/>
      <c r="DA45" s="38"/>
      <c r="DB45" s="39"/>
      <c r="DC45" s="38"/>
      <c r="DD45" s="39"/>
      <c r="DE45" s="38"/>
      <c r="DF45" s="39"/>
      <c r="DG45" s="38"/>
      <c r="DH45" s="39"/>
      <c r="DI45" s="41">
        <f t="shared" si="55"/>
        <v>0</v>
      </c>
      <c r="DJ45" s="41">
        <f t="shared" ref="DJ45:DJ50" si="64">K45+X45+AK45+AX45+BK45+BX45+CK45+CX45</f>
        <v>0</v>
      </c>
      <c r="DK45" s="41">
        <f t="shared" ref="DK45:DK50" si="65">M45+O45+Q45+S45+U45+Z45+AB45+AD45+AF45+AH45+AM45+AO45+AQ45+AS45+AU45+AZ45+BB45+BD45+BF45+BH45+BM45+BO45+BQ45+BS45+BU45+BZ45+CB45+CD45+CF45+CH45+CM45+CO45+CQ45+CS45+CU45+CZ45+DB45+DD45+DF45+DH45</f>
        <v>0</v>
      </c>
      <c r="DL45" s="16"/>
    </row>
    <row r="46" spans="1:116" x14ac:dyDescent="0.25">
      <c r="A46" s="1" t="s">
        <v>196</v>
      </c>
      <c r="C46" s="45"/>
      <c r="D46" s="53"/>
      <c r="E46" s="50"/>
      <c r="F46" s="34">
        <v>0</v>
      </c>
      <c r="G46" s="40"/>
      <c r="H46" s="195">
        <v>0</v>
      </c>
      <c r="I46" s="40"/>
      <c r="J46" s="36"/>
      <c r="K46" s="37"/>
      <c r="L46" s="38"/>
      <c r="M46" s="39"/>
      <c r="N46" s="38"/>
      <c r="O46" s="39"/>
      <c r="P46" s="38"/>
      <c r="Q46" s="39"/>
      <c r="R46" s="38"/>
      <c r="S46" s="39"/>
      <c r="T46" s="38"/>
      <c r="U46" s="39"/>
      <c r="V46" s="40"/>
      <c r="W46" s="36"/>
      <c r="X46" s="37"/>
      <c r="Y46" s="38"/>
      <c r="Z46" s="39"/>
      <c r="AA46" s="38"/>
      <c r="AB46" s="39"/>
      <c r="AC46" s="38"/>
      <c r="AD46" s="39"/>
      <c r="AE46" s="38"/>
      <c r="AF46" s="39"/>
      <c r="AG46" s="38"/>
      <c r="AH46" s="39"/>
      <c r="AI46" s="40"/>
      <c r="AJ46" s="36"/>
      <c r="AK46" s="37"/>
      <c r="AL46" s="38"/>
      <c r="AM46" s="39"/>
      <c r="AN46" s="38"/>
      <c r="AO46" s="39"/>
      <c r="AP46" s="38"/>
      <c r="AQ46" s="39"/>
      <c r="AR46" s="38"/>
      <c r="AS46" s="39"/>
      <c r="AT46" s="38"/>
      <c r="AU46" s="39"/>
      <c r="AV46" s="40"/>
      <c r="AW46" s="36"/>
      <c r="AX46" s="37"/>
      <c r="AY46" s="38"/>
      <c r="AZ46" s="39"/>
      <c r="BA46" s="38"/>
      <c r="BB46" s="39"/>
      <c r="BC46" s="38"/>
      <c r="BD46" s="39"/>
      <c r="BE46" s="38"/>
      <c r="BF46" s="39"/>
      <c r="BG46" s="38"/>
      <c r="BH46" s="39"/>
      <c r="BI46" s="40"/>
      <c r="BJ46" s="36"/>
      <c r="BK46" s="37"/>
      <c r="BL46" s="38"/>
      <c r="BM46" s="39"/>
      <c r="BN46" s="38"/>
      <c r="BO46" s="39"/>
      <c r="BP46" s="38"/>
      <c r="BQ46" s="39"/>
      <c r="BR46" s="38"/>
      <c r="BS46" s="39"/>
      <c r="BT46" s="38"/>
      <c r="BU46" s="39"/>
      <c r="BV46" s="40"/>
      <c r="BW46" s="36"/>
      <c r="BX46" s="37"/>
      <c r="BY46" s="38"/>
      <c r="BZ46" s="39"/>
      <c r="CA46" s="38"/>
      <c r="CB46" s="39"/>
      <c r="CC46" s="38"/>
      <c r="CD46" s="39"/>
      <c r="CE46" s="38"/>
      <c r="CF46" s="39"/>
      <c r="CG46" s="38"/>
      <c r="CH46" s="39"/>
      <c r="CI46" s="40"/>
      <c r="CJ46" s="36"/>
      <c r="CK46" s="37"/>
      <c r="CL46" s="38"/>
      <c r="CM46" s="39"/>
      <c r="CN46" s="38"/>
      <c r="CO46" s="39"/>
      <c r="CP46" s="38"/>
      <c r="CQ46" s="39"/>
      <c r="CR46" s="38"/>
      <c r="CS46" s="39"/>
      <c r="CT46" s="38"/>
      <c r="CU46" s="39"/>
      <c r="CV46" s="40"/>
      <c r="CW46" s="36"/>
      <c r="CX46" s="37"/>
      <c r="CY46" s="38"/>
      <c r="CZ46" s="39"/>
      <c r="DA46" s="38"/>
      <c r="DB46" s="39"/>
      <c r="DC46" s="38"/>
      <c r="DD46" s="39"/>
      <c r="DE46" s="38"/>
      <c r="DF46" s="39"/>
      <c r="DG46" s="38"/>
      <c r="DH46" s="39"/>
      <c r="DI46" s="41">
        <f t="shared" si="55"/>
        <v>0</v>
      </c>
      <c r="DJ46" s="41">
        <f t="shared" si="64"/>
        <v>0</v>
      </c>
      <c r="DK46" s="41">
        <f t="shared" si="65"/>
        <v>0</v>
      </c>
      <c r="DL46" s="16"/>
    </row>
    <row r="47" spans="1:116" x14ac:dyDescent="0.25">
      <c r="B47" s="48" t="s">
        <v>32</v>
      </c>
      <c r="C47" s="42" t="s">
        <v>33</v>
      </c>
      <c r="D47" s="53">
        <v>8700</v>
      </c>
      <c r="E47" s="224">
        <f>H47*$K$81</f>
        <v>255.1</v>
      </c>
      <c r="F47" s="142">
        <v>2088000</v>
      </c>
      <c r="G47" s="40"/>
      <c r="H47" s="195">
        <v>250</v>
      </c>
      <c r="I47" s="40"/>
      <c r="J47" s="36"/>
      <c r="K47" s="37"/>
      <c r="L47" s="38"/>
      <c r="M47" s="39"/>
      <c r="N47" s="38"/>
      <c r="O47" s="39"/>
      <c r="P47" s="38"/>
      <c r="Q47" s="39"/>
      <c r="R47" s="38"/>
      <c r="S47" s="39"/>
      <c r="T47" s="38"/>
      <c r="U47" s="39"/>
      <c r="V47" s="40"/>
      <c r="W47" s="36"/>
      <c r="X47" s="37"/>
      <c r="Y47" s="38"/>
      <c r="Z47" s="39"/>
      <c r="AA47" s="38"/>
      <c r="AB47" s="39"/>
      <c r="AC47" s="38"/>
      <c r="AD47" s="39"/>
      <c r="AE47" s="38"/>
      <c r="AF47" s="39"/>
      <c r="AG47" s="38"/>
      <c r="AH47" s="39"/>
      <c r="AI47" s="40"/>
      <c r="AJ47" s="36">
        <v>0.8</v>
      </c>
      <c r="AK47" s="37">
        <f t="shared" ref="AK47:AK48" si="66">AJ47*$F47</f>
        <v>1670400</v>
      </c>
      <c r="AL47" s="38">
        <v>1</v>
      </c>
      <c r="AM47" s="39">
        <f>AL47*AK47</f>
        <v>1670400</v>
      </c>
      <c r="AN47" s="38"/>
      <c r="AO47" s="39"/>
      <c r="AP47" s="38"/>
      <c r="AQ47" s="39"/>
      <c r="AR47" s="38"/>
      <c r="AS47" s="39"/>
      <c r="AT47" s="38"/>
      <c r="AU47" s="39"/>
      <c r="AV47" s="40"/>
      <c r="AW47" s="36">
        <v>0.2</v>
      </c>
      <c r="AX47" s="37">
        <f t="shared" ref="AX47:AX48" si="67">AW47*$F47</f>
        <v>417600</v>
      </c>
      <c r="AY47" s="38">
        <v>1</v>
      </c>
      <c r="AZ47" s="39">
        <f>AY47*AX47</f>
        <v>417600</v>
      </c>
      <c r="BA47" s="38"/>
      <c r="BB47" s="39"/>
      <c r="BC47" s="38"/>
      <c r="BD47" s="39"/>
      <c r="BE47" s="38"/>
      <c r="BF47" s="39"/>
      <c r="BG47" s="38"/>
      <c r="BH47" s="39"/>
      <c r="BI47" s="40"/>
      <c r="BJ47" s="36"/>
      <c r="BK47" s="37"/>
      <c r="BL47" s="38"/>
      <c r="BM47" s="39"/>
      <c r="BN47" s="38"/>
      <c r="BO47" s="39"/>
      <c r="BP47" s="38"/>
      <c r="BQ47" s="39"/>
      <c r="BR47" s="38"/>
      <c r="BS47" s="39"/>
      <c r="BT47" s="38"/>
      <c r="BU47" s="39"/>
      <c r="BV47" s="40"/>
      <c r="BW47" s="36"/>
      <c r="BX47" s="37"/>
      <c r="BY47" s="38"/>
      <c r="BZ47" s="39"/>
      <c r="CA47" s="38"/>
      <c r="CB47" s="39"/>
      <c r="CC47" s="38"/>
      <c r="CD47" s="39"/>
      <c r="CE47" s="38"/>
      <c r="CF47" s="39"/>
      <c r="CG47" s="38"/>
      <c r="CH47" s="39"/>
      <c r="CI47" s="40"/>
      <c r="CJ47" s="36"/>
      <c r="CK47" s="37"/>
      <c r="CL47" s="38"/>
      <c r="CM47" s="39"/>
      <c r="CN47" s="38"/>
      <c r="CO47" s="39"/>
      <c r="CP47" s="38"/>
      <c r="CQ47" s="39"/>
      <c r="CR47" s="38"/>
      <c r="CS47" s="39"/>
      <c r="CT47" s="38"/>
      <c r="CU47" s="39"/>
      <c r="CV47" s="40"/>
      <c r="CW47" s="36"/>
      <c r="CX47" s="37"/>
      <c r="CY47" s="38"/>
      <c r="CZ47" s="39"/>
      <c r="DA47" s="38"/>
      <c r="DB47" s="39"/>
      <c r="DC47" s="38"/>
      <c r="DD47" s="39"/>
      <c r="DE47" s="38"/>
      <c r="DF47" s="39"/>
      <c r="DG47" s="38"/>
      <c r="DH47" s="39"/>
      <c r="DI47" s="41">
        <f t="shared" si="55"/>
        <v>2088000</v>
      </c>
      <c r="DJ47" s="41">
        <f t="shared" si="64"/>
        <v>2088000</v>
      </c>
      <c r="DK47" s="41">
        <f t="shared" si="65"/>
        <v>2088000</v>
      </c>
      <c r="DL47" s="16"/>
    </row>
    <row r="48" spans="1:116" x14ac:dyDescent="0.25">
      <c r="B48" s="46" t="s">
        <v>34</v>
      </c>
      <c r="C48" s="42" t="s">
        <v>33</v>
      </c>
      <c r="D48" s="53">
        <v>8700</v>
      </c>
      <c r="E48" s="34">
        <f>$K$70</f>
        <v>-108.3695731319762</v>
      </c>
      <c r="F48" s="34">
        <f t="shared" ref="F48" si="68">D48*E48</f>
        <v>-942815.28624819289</v>
      </c>
      <c r="G48" s="40"/>
      <c r="H48" s="195">
        <v>-123.79</v>
      </c>
      <c r="I48" s="40"/>
      <c r="J48" s="36"/>
      <c r="K48" s="37"/>
      <c r="L48" s="38"/>
      <c r="M48" s="39"/>
      <c r="N48" s="38"/>
      <c r="O48" s="39"/>
      <c r="P48" s="38"/>
      <c r="Q48" s="39"/>
      <c r="R48" s="38"/>
      <c r="S48" s="39"/>
      <c r="T48" s="38"/>
      <c r="U48" s="39"/>
      <c r="V48" s="40"/>
      <c r="W48" s="36"/>
      <c r="X48" s="37"/>
      <c r="Y48" s="38"/>
      <c r="Z48" s="39"/>
      <c r="AA48" s="38"/>
      <c r="AB48" s="39"/>
      <c r="AC48" s="38"/>
      <c r="AD48" s="39"/>
      <c r="AE48" s="38"/>
      <c r="AF48" s="39"/>
      <c r="AG48" s="38"/>
      <c r="AH48" s="39"/>
      <c r="AI48" s="40"/>
      <c r="AJ48" s="36">
        <v>0.8</v>
      </c>
      <c r="AK48" s="37">
        <f t="shared" si="66"/>
        <v>-754252.2289985544</v>
      </c>
      <c r="AL48" s="38">
        <v>1</v>
      </c>
      <c r="AM48" s="39">
        <f>AL48*AK48</f>
        <v>-754252.2289985544</v>
      </c>
      <c r="AN48" s="38"/>
      <c r="AO48" s="39"/>
      <c r="AP48" s="38"/>
      <c r="AQ48" s="39"/>
      <c r="AR48" s="38"/>
      <c r="AS48" s="39"/>
      <c r="AT48" s="38"/>
      <c r="AU48" s="39"/>
      <c r="AV48" s="40"/>
      <c r="AW48" s="36">
        <v>0.2</v>
      </c>
      <c r="AX48" s="37">
        <f t="shared" si="67"/>
        <v>-188563.0572496386</v>
      </c>
      <c r="AY48" s="38">
        <v>1</v>
      </c>
      <c r="AZ48" s="39">
        <f>AY48*AX48</f>
        <v>-188563.0572496386</v>
      </c>
      <c r="BA48" s="38"/>
      <c r="BB48" s="39"/>
      <c r="BC48" s="38"/>
      <c r="BD48" s="39"/>
      <c r="BE48" s="38"/>
      <c r="BF48" s="39"/>
      <c r="BG48" s="38"/>
      <c r="BH48" s="39"/>
      <c r="BI48" s="40"/>
      <c r="BJ48" s="36"/>
      <c r="BK48" s="37"/>
      <c r="BL48" s="38"/>
      <c r="BM48" s="39"/>
      <c r="BN48" s="38"/>
      <c r="BO48" s="39"/>
      <c r="BP48" s="38"/>
      <c r="BQ48" s="39"/>
      <c r="BR48" s="38"/>
      <c r="BS48" s="39"/>
      <c r="BT48" s="38"/>
      <c r="BU48" s="39"/>
      <c r="BV48" s="40"/>
      <c r="BW48" s="36"/>
      <c r="BX48" s="37"/>
      <c r="BY48" s="38"/>
      <c r="BZ48" s="39"/>
      <c r="CA48" s="38"/>
      <c r="CB48" s="39"/>
      <c r="CC48" s="38"/>
      <c r="CD48" s="39"/>
      <c r="CE48" s="38"/>
      <c r="CF48" s="39"/>
      <c r="CG48" s="38"/>
      <c r="CH48" s="39"/>
      <c r="CI48" s="40"/>
      <c r="CJ48" s="36"/>
      <c r="CK48" s="37"/>
      <c r="CL48" s="38"/>
      <c r="CM48" s="39"/>
      <c r="CN48" s="38"/>
      <c r="CO48" s="39"/>
      <c r="CP48" s="38"/>
      <c r="CQ48" s="39"/>
      <c r="CR48" s="38"/>
      <c r="CS48" s="39"/>
      <c r="CT48" s="38"/>
      <c r="CU48" s="39"/>
      <c r="CV48" s="40"/>
      <c r="CW48" s="36"/>
      <c r="CX48" s="37"/>
      <c r="CY48" s="38"/>
      <c r="CZ48" s="39"/>
      <c r="DA48" s="38"/>
      <c r="DB48" s="39"/>
      <c r="DC48" s="38"/>
      <c r="DD48" s="39"/>
      <c r="DE48" s="38"/>
      <c r="DF48" s="39"/>
      <c r="DG48" s="38"/>
      <c r="DH48" s="39"/>
      <c r="DI48" s="41">
        <f t="shared" si="55"/>
        <v>-942815.28624819289</v>
      </c>
      <c r="DJ48" s="41">
        <f t="shared" si="64"/>
        <v>-942815.28624819301</v>
      </c>
      <c r="DK48" s="41">
        <f t="shared" si="65"/>
        <v>-942815.28624819301</v>
      </c>
      <c r="DL48" s="16"/>
    </row>
    <row r="49" spans="1:116" x14ac:dyDescent="0.25">
      <c r="B49" s="46"/>
      <c r="C49" s="42"/>
      <c r="D49" s="53"/>
      <c r="E49" s="34"/>
      <c r="F49" s="34"/>
      <c r="G49" s="40"/>
      <c r="H49" s="195">
        <v>0</v>
      </c>
      <c r="I49" s="40"/>
      <c r="J49" s="36"/>
      <c r="K49" s="37"/>
      <c r="L49" s="38"/>
      <c r="M49" s="39"/>
      <c r="N49" s="38"/>
      <c r="O49" s="39"/>
      <c r="P49" s="38"/>
      <c r="Q49" s="39"/>
      <c r="R49" s="38"/>
      <c r="S49" s="39"/>
      <c r="T49" s="38"/>
      <c r="U49" s="39"/>
      <c r="V49" s="40"/>
      <c r="W49" s="36"/>
      <c r="X49" s="37"/>
      <c r="Y49" s="38"/>
      <c r="Z49" s="39"/>
      <c r="AA49" s="38"/>
      <c r="AB49" s="39"/>
      <c r="AC49" s="38"/>
      <c r="AD49" s="39"/>
      <c r="AE49" s="38"/>
      <c r="AF49" s="39"/>
      <c r="AG49" s="38"/>
      <c r="AH49" s="39"/>
      <c r="AI49" s="40"/>
      <c r="AJ49" s="36"/>
      <c r="AK49" s="37"/>
      <c r="AL49" s="38"/>
      <c r="AM49" s="39"/>
      <c r="AN49" s="38"/>
      <c r="AO49" s="39"/>
      <c r="AP49" s="38"/>
      <c r="AQ49" s="39"/>
      <c r="AR49" s="38"/>
      <c r="AS49" s="39"/>
      <c r="AT49" s="38"/>
      <c r="AU49" s="39"/>
      <c r="AV49" s="40"/>
      <c r="AW49" s="36"/>
      <c r="AX49" s="37"/>
      <c r="AY49" s="38"/>
      <c r="AZ49" s="39"/>
      <c r="BA49" s="38"/>
      <c r="BB49" s="39"/>
      <c r="BC49" s="38"/>
      <c r="BD49" s="39"/>
      <c r="BE49" s="38"/>
      <c r="BF49" s="39"/>
      <c r="BG49" s="38"/>
      <c r="BH49" s="39"/>
      <c r="BI49" s="40"/>
      <c r="BJ49" s="36"/>
      <c r="BK49" s="37"/>
      <c r="BL49" s="38"/>
      <c r="BM49" s="39"/>
      <c r="BN49" s="38"/>
      <c r="BO49" s="39"/>
      <c r="BP49" s="38"/>
      <c r="BQ49" s="39"/>
      <c r="BR49" s="38"/>
      <c r="BS49" s="39"/>
      <c r="BT49" s="38"/>
      <c r="BU49" s="39"/>
      <c r="BV49" s="40"/>
      <c r="BW49" s="36"/>
      <c r="BX49" s="37"/>
      <c r="BY49" s="38"/>
      <c r="BZ49" s="39"/>
      <c r="CA49" s="38"/>
      <c r="CB49" s="39"/>
      <c r="CC49" s="38"/>
      <c r="CD49" s="39"/>
      <c r="CE49" s="38"/>
      <c r="CF49" s="39"/>
      <c r="CG49" s="38"/>
      <c r="CH49" s="39"/>
      <c r="CI49" s="40"/>
      <c r="CJ49" s="36"/>
      <c r="CK49" s="37"/>
      <c r="CL49" s="38"/>
      <c r="CM49" s="39"/>
      <c r="CN49" s="38"/>
      <c r="CO49" s="39"/>
      <c r="CP49" s="38"/>
      <c r="CQ49" s="39"/>
      <c r="CR49" s="38"/>
      <c r="CS49" s="39"/>
      <c r="CT49" s="38"/>
      <c r="CU49" s="39"/>
      <c r="CV49" s="40"/>
      <c r="CW49" s="36"/>
      <c r="CX49" s="37"/>
      <c r="CY49" s="38"/>
      <c r="CZ49" s="39"/>
      <c r="DA49" s="38"/>
      <c r="DB49" s="39"/>
      <c r="DC49" s="38"/>
      <c r="DD49" s="39"/>
      <c r="DE49" s="38"/>
      <c r="DF49" s="39"/>
      <c r="DG49" s="38"/>
      <c r="DH49" s="39"/>
      <c r="DI49" s="41">
        <f t="shared" si="55"/>
        <v>0</v>
      </c>
      <c r="DJ49" s="41">
        <f t="shared" si="64"/>
        <v>0</v>
      </c>
      <c r="DK49" s="41">
        <f t="shared" si="65"/>
        <v>0</v>
      </c>
      <c r="DL49" s="16"/>
    </row>
    <row r="50" spans="1:116" x14ac:dyDescent="0.25">
      <c r="A50" s="1" t="s">
        <v>46</v>
      </c>
      <c r="B50" s="44"/>
      <c r="C50" s="54"/>
      <c r="D50" s="43"/>
      <c r="E50" s="34"/>
      <c r="F50" s="34">
        <f t="shared" ref="F50" si="69">E50*D50</f>
        <v>0</v>
      </c>
      <c r="G50" s="55"/>
      <c r="H50" s="195">
        <v>0</v>
      </c>
      <c r="I50" s="55"/>
      <c r="J50" s="36"/>
      <c r="K50" s="37">
        <f t="shared" ref="K50:K54" si="70">J50*$F50</f>
        <v>0</v>
      </c>
      <c r="L50" s="38"/>
      <c r="M50" s="39">
        <f t="shared" ref="M50:M54" si="71">L50*K50</f>
        <v>0</v>
      </c>
      <c r="N50" s="38"/>
      <c r="O50" s="39">
        <f t="shared" ref="O50:O54" si="72">N50*K50</f>
        <v>0</v>
      </c>
      <c r="P50" s="38"/>
      <c r="Q50" s="39">
        <f t="shared" ref="Q50:Q54" si="73">P50*K50</f>
        <v>0</v>
      </c>
      <c r="R50" s="38"/>
      <c r="S50" s="39">
        <f t="shared" ref="S50:S54" si="74">R50*K50</f>
        <v>0</v>
      </c>
      <c r="T50" s="38"/>
      <c r="U50" s="39">
        <f t="shared" ref="U50:U54" si="75">T50*K50</f>
        <v>0</v>
      </c>
      <c r="V50" s="55"/>
      <c r="W50" s="56"/>
      <c r="X50" s="37">
        <f t="shared" ref="X50:X54" si="76">W50*$F50</f>
        <v>0</v>
      </c>
      <c r="Y50" s="57"/>
      <c r="Z50" s="39">
        <f t="shared" ref="Z50:Z54" si="77">Y50*X50</f>
        <v>0</v>
      </c>
      <c r="AA50" s="57"/>
      <c r="AB50" s="39">
        <f t="shared" ref="AB50:AB54" si="78">AA50*X50</f>
        <v>0</v>
      </c>
      <c r="AC50" s="57"/>
      <c r="AD50" s="39">
        <f t="shared" ref="AD50:AD54" si="79">AC50*X50</f>
        <v>0</v>
      </c>
      <c r="AE50" s="57"/>
      <c r="AF50" s="39">
        <f t="shared" ref="AF50:AF54" si="80">AE50*X50</f>
        <v>0</v>
      </c>
      <c r="AG50" s="57"/>
      <c r="AH50" s="39">
        <f t="shared" ref="AH50:AH54" si="81">AG50*X50</f>
        <v>0</v>
      </c>
      <c r="AI50" s="55"/>
      <c r="AJ50" s="56"/>
      <c r="AK50" s="37">
        <f t="shared" ref="AK50:AK54" si="82">AJ50*$F50</f>
        <v>0</v>
      </c>
      <c r="AL50" s="57"/>
      <c r="AM50" s="39">
        <f t="shared" ref="AM50:AM54" si="83">AL50*AK50</f>
        <v>0</v>
      </c>
      <c r="AN50" s="57"/>
      <c r="AO50" s="39">
        <f t="shared" ref="AO50:AO54" si="84">AN50*AK50</f>
        <v>0</v>
      </c>
      <c r="AP50" s="57"/>
      <c r="AQ50" s="39">
        <f t="shared" ref="AQ50:AQ54" si="85">AP50*AK50</f>
        <v>0</v>
      </c>
      <c r="AR50" s="57"/>
      <c r="AS50" s="39">
        <f t="shared" ref="AS50:AS54" si="86">AR50*AK50</f>
        <v>0</v>
      </c>
      <c r="AT50" s="57"/>
      <c r="AU50" s="39">
        <f t="shared" ref="AU50:AU54" si="87">AT50*AK50</f>
        <v>0</v>
      </c>
      <c r="AV50" s="55"/>
      <c r="AW50" s="56"/>
      <c r="AX50" s="37">
        <f t="shared" ref="AX50:AX54" si="88">AW50*$F50</f>
        <v>0</v>
      </c>
      <c r="AY50" s="57"/>
      <c r="AZ50" s="39">
        <f t="shared" ref="AZ50:AZ54" si="89">AY50*AX50</f>
        <v>0</v>
      </c>
      <c r="BA50" s="57"/>
      <c r="BB50" s="39">
        <f t="shared" ref="BB50:BB54" si="90">BA50*AX50</f>
        <v>0</v>
      </c>
      <c r="BC50" s="57"/>
      <c r="BD50" s="39">
        <f t="shared" ref="BD50:BD54" si="91">BC50*AX50</f>
        <v>0</v>
      </c>
      <c r="BE50" s="57"/>
      <c r="BF50" s="39">
        <f t="shared" ref="BF50:BF54" si="92">BE50*AX50</f>
        <v>0</v>
      </c>
      <c r="BG50" s="57"/>
      <c r="BH50" s="39">
        <f t="shared" ref="BH50:BH54" si="93">BG50*AX50</f>
        <v>0</v>
      </c>
      <c r="BI50" s="55"/>
      <c r="BJ50" s="56"/>
      <c r="BK50" s="37">
        <f t="shared" ref="BK50:BK54" si="94">BJ50*$F50</f>
        <v>0</v>
      </c>
      <c r="BL50" s="57"/>
      <c r="BM50" s="39">
        <f t="shared" ref="BM50:BM54" si="95">BL50*BK50</f>
        <v>0</v>
      </c>
      <c r="BN50" s="57"/>
      <c r="BO50" s="39">
        <f t="shared" ref="BO50:BO54" si="96">BN50*BK50</f>
        <v>0</v>
      </c>
      <c r="BP50" s="57"/>
      <c r="BQ50" s="39">
        <f t="shared" ref="BQ50:BQ54" si="97">BP50*BK50</f>
        <v>0</v>
      </c>
      <c r="BR50" s="57"/>
      <c r="BS50" s="39">
        <f t="shared" ref="BS50:BS54" si="98">BR50*BK50</f>
        <v>0</v>
      </c>
      <c r="BT50" s="57"/>
      <c r="BU50" s="39">
        <f t="shared" ref="BU50:BU54" si="99">BT50*BK50</f>
        <v>0</v>
      </c>
      <c r="BV50" s="55"/>
      <c r="BW50" s="56"/>
      <c r="BX50" s="37">
        <f t="shared" ref="BX50:BX54" si="100">BW50*$F50</f>
        <v>0</v>
      </c>
      <c r="BY50" s="57"/>
      <c r="BZ50" s="39">
        <f t="shared" ref="BZ50:BZ54" si="101">BY50*BX50</f>
        <v>0</v>
      </c>
      <c r="CA50" s="57"/>
      <c r="CB50" s="39">
        <f t="shared" ref="CB50:CB54" si="102">CA50*BX50</f>
        <v>0</v>
      </c>
      <c r="CC50" s="57"/>
      <c r="CD50" s="39">
        <f t="shared" ref="CD50:CD54" si="103">CC50*BX50</f>
        <v>0</v>
      </c>
      <c r="CE50" s="57"/>
      <c r="CF50" s="39">
        <f t="shared" ref="CF50:CF54" si="104">CE50*BX50</f>
        <v>0</v>
      </c>
      <c r="CG50" s="57"/>
      <c r="CH50" s="39">
        <f t="shared" ref="CH50:CH54" si="105">CG50*BX50</f>
        <v>0</v>
      </c>
      <c r="CI50" s="55"/>
      <c r="CJ50" s="56"/>
      <c r="CK50" s="37">
        <f t="shared" ref="CK50:CK54" si="106">CJ50*$F50</f>
        <v>0</v>
      </c>
      <c r="CL50" s="57"/>
      <c r="CM50" s="39">
        <f t="shared" ref="CM50:CM54" si="107">CL50*CK50</f>
        <v>0</v>
      </c>
      <c r="CN50" s="57"/>
      <c r="CO50" s="39">
        <f t="shared" ref="CO50:CO54" si="108">CN50*CK50</f>
        <v>0</v>
      </c>
      <c r="CP50" s="57"/>
      <c r="CQ50" s="39">
        <f t="shared" ref="CQ50:CQ54" si="109">CP50*CK50</f>
        <v>0</v>
      </c>
      <c r="CR50" s="57"/>
      <c r="CS50" s="39">
        <f t="shared" ref="CS50:CS54" si="110">CR50*CK50</f>
        <v>0</v>
      </c>
      <c r="CT50" s="57"/>
      <c r="CU50" s="39">
        <f t="shared" ref="CU50:CU54" si="111">CT50*CK50</f>
        <v>0</v>
      </c>
      <c r="CV50" s="55"/>
      <c r="CW50" s="56"/>
      <c r="CX50" s="37">
        <f t="shared" ref="CX50:CX54" si="112">CW50*$F50</f>
        <v>0</v>
      </c>
      <c r="CY50" s="57"/>
      <c r="CZ50" s="39">
        <f t="shared" ref="CZ50:CZ54" si="113">CY50*CX50</f>
        <v>0</v>
      </c>
      <c r="DA50" s="57"/>
      <c r="DB50" s="39">
        <f t="shared" ref="DB50:DB54" si="114">DA50*CX50</f>
        <v>0</v>
      </c>
      <c r="DC50" s="57"/>
      <c r="DD50" s="39">
        <f t="shared" ref="DD50:DD54" si="115">DC50*CX50</f>
        <v>0</v>
      </c>
      <c r="DE50" s="57"/>
      <c r="DF50" s="39">
        <f t="shared" ref="DF50:DF54" si="116">DE50*CX50</f>
        <v>0</v>
      </c>
      <c r="DG50" s="57"/>
      <c r="DH50" s="39">
        <f t="shared" ref="DH50:DH54" si="117">DG50*CX50</f>
        <v>0</v>
      </c>
      <c r="DI50" s="41">
        <f t="shared" si="55"/>
        <v>0</v>
      </c>
      <c r="DJ50" s="41">
        <f t="shared" si="64"/>
        <v>0</v>
      </c>
      <c r="DK50" s="41">
        <f t="shared" si="65"/>
        <v>0</v>
      </c>
      <c r="DL50" s="16">
        <f t="shared" ref="DL50:DL54" si="118">IF(AND(DI50=DJ50,DJ50=DK50,DI50=DK50),0,1)</f>
        <v>0</v>
      </c>
    </row>
    <row r="51" spans="1:116" x14ac:dyDescent="0.25">
      <c r="B51" s="44" t="s">
        <v>47</v>
      </c>
      <c r="C51" s="54" t="s">
        <v>33</v>
      </c>
      <c r="D51" s="53">
        <v>650</v>
      </c>
      <c r="E51" s="224">
        <f>H51*$K$81</f>
        <v>255.1</v>
      </c>
      <c r="F51" s="34">
        <v>156000</v>
      </c>
      <c r="G51" s="55"/>
      <c r="H51" s="195">
        <v>250</v>
      </c>
      <c r="I51" s="55"/>
      <c r="J51" s="36"/>
      <c r="K51" s="37">
        <f t="shared" si="70"/>
        <v>0</v>
      </c>
      <c r="L51" s="38"/>
      <c r="M51" s="39">
        <f t="shared" si="71"/>
        <v>0</v>
      </c>
      <c r="N51" s="38"/>
      <c r="O51" s="39">
        <f t="shared" si="72"/>
        <v>0</v>
      </c>
      <c r="P51" s="38"/>
      <c r="Q51" s="39">
        <f t="shared" si="73"/>
        <v>0</v>
      </c>
      <c r="R51" s="38"/>
      <c r="S51" s="39">
        <f t="shared" si="74"/>
        <v>0</v>
      </c>
      <c r="T51" s="38"/>
      <c r="U51" s="39">
        <f t="shared" si="75"/>
        <v>0</v>
      </c>
      <c r="V51" s="55"/>
      <c r="W51" s="56"/>
      <c r="X51" s="37">
        <f t="shared" si="76"/>
        <v>0</v>
      </c>
      <c r="Y51" s="57"/>
      <c r="Z51" s="39">
        <f t="shared" si="77"/>
        <v>0</v>
      </c>
      <c r="AA51" s="57"/>
      <c r="AB51" s="39">
        <f t="shared" si="78"/>
        <v>0</v>
      </c>
      <c r="AC51" s="57"/>
      <c r="AD51" s="39">
        <f t="shared" si="79"/>
        <v>0</v>
      </c>
      <c r="AE51" s="57"/>
      <c r="AF51" s="39">
        <f t="shared" si="80"/>
        <v>0</v>
      </c>
      <c r="AG51" s="57"/>
      <c r="AH51" s="39">
        <f t="shared" si="81"/>
        <v>0</v>
      </c>
      <c r="AI51" s="55"/>
      <c r="AJ51" s="56">
        <v>0.6</v>
      </c>
      <c r="AK51" s="37">
        <f t="shared" si="82"/>
        <v>93600</v>
      </c>
      <c r="AL51" s="57">
        <v>0.2</v>
      </c>
      <c r="AM51" s="39">
        <f t="shared" si="83"/>
        <v>18720</v>
      </c>
      <c r="AN51" s="57">
        <v>0.15</v>
      </c>
      <c r="AO51" s="39">
        <f t="shared" si="84"/>
        <v>14040</v>
      </c>
      <c r="AP51" s="57">
        <v>0.2</v>
      </c>
      <c r="AQ51" s="39">
        <f t="shared" si="85"/>
        <v>18720</v>
      </c>
      <c r="AR51" s="57">
        <v>0.35</v>
      </c>
      <c r="AS51" s="39">
        <f t="shared" si="86"/>
        <v>32759.999999999996</v>
      </c>
      <c r="AT51" s="57">
        <v>0.1</v>
      </c>
      <c r="AU51" s="39">
        <f t="shared" si="87"/>
        <v>9360</v>
      </c>
      <c r="AV51" s="55"/>
      <c r="AW51" s="56">
        <v>0.2</v>
      </c>
      <c r="AX51" s="37">
        <f t="shared" si="88"/>
        <v>31200</v>
      </c>
      <c r="AY51" s="57">
        <v>0.2</v>
      </c>
      <c r="AZ51" s="39">
        <f t="shared" si="89"/>
        <v>6240</v>
      </c>
      <c r="BA51" s="57">
        <v>0.15</v>
      </c>
      <c r="BB51" s="39">
        <f t="shared" si="90"/>
        <v>4680</v>
      </c>
      <c r="BC51" s="57">
        <v>0.2</v>
      </c>
      <c r="BD51" s="39">
        <f t="shared" si="91"/>
        <v>6240</v>
      </c>
      <c r="BE51" s="57">
        <v>0.35</v>
      </c>
      <c r="BF51" s="39">
        <f t="shared" si="92"/>
        <v>10920</v>
      </c>
      <c r="BG51" s="57">
        <v>0.1</v>
      </c>
      <c r="BH51" s="39">
        <f t="shared" si="93"/>
        <v>3120</v>
      </c>
      <c r="BI51" s="55"/>
      <c r="BJ51" s="56">
        <v>0.15</v>
      </c>
      <c r="BK51" s="37">
        <f t="shared" si="94"/>
        <v>23400</v>
      </c>
      <c r="BL51" s="57">
        <v>0.2</v>
      </c>
      <c r="BM51" s="39">
        <f t="shared" si="95"/>
        <v>4680</v>
      </c>
      <c r="BN51" s="57">
        <v>0.15</v>
      </c>
      <c r="BO51" s="39">
        <f t="shared" si="96"/>
        <v>3510</v>
      </c>
      <c r="BP51" s="57">
        <v>0.2</v>
      </c>
      <c r="BQ51" s="39">
        <f t="shared" si="97"/>
        <v>4680</v>
      </c>
      <c r="BR51" s="57">
        <v>0.35</v>
      </c>
      <c r="BS51" s="39">
        <f t="shared" si="98"/>
        <v>8189.9999999999991</v>
      </c>
      <c r="BT51" s="57">
        <v>0.1</v>
      </c>
      <c r="BU51" s="39">
        <f t="shared" si="99"/>
        <v>2340</v>
      </c>
      <c r="BV51" s="55"/>
      <c r="BW51" s="56">
        <v>0.05</v>
      </c>
      <c r="BX51" s="37">
        <f t="shared" si="100"/>
        <v>7800</v>
      </c>
      <c r="BY51" s="57">
        <v>0.2</v>
      </c>
      <c r="BZ51" s="39">
        <f t="shared" si="101"/>
        <v>1560</v>
      </c>
      <c r="CA51" s="57">
        <v>0.15</v>
      </c>
      <c r="CB51" s="39">
        <f t="shared" si="102"/>
        <v>1170</v>
      </c>
      <c r="CC51" s="57">
        <v>0.2</v>
      </c>
      <c r="CD51" s="39">
        <f t="shared" si="103"/>
        <v>1560</v>
      </c>
      <c r="CE51" s="57">
        <v>0.35</v>
      </c>
      <c r="CF51" s="39">
        <f t="shared" si="104"/>
        <v>2730</v>
      </c>
      <c r="CG51" s="57">
        <v>0.1</v>
      </c>
      <c r="CH51" s="39">
        <f t="shared" si="105"/>
        <v>780</v>
      </c>
      <c r="CI51" s="55"/>
      <c r="CJ51" s="56"/>
      <c r="CK51" s="37">
        <f t="shared" si="106"/>
        <v>0</v>
      </c>
      <c r="CL51" s="57"/>
      <c r="CM51" s="39">
        <f t="shared" si="107"/>
        <v>0</v>
      </c>
      <c r="CN51" s="57"/>
      <c r="CO51" s="39">
        <f t="shared" si="108"/>
        <v>0</v>
      </c>
      <c r="CP51" s="57"/>
      <c r="CQ51" s="39">
        <f t="shared" si="109"/>
        <v>0</v>
      </c>
      <c r="CR51" s="57"/>
      <c r="CS51" s="39">
        <f t="shared" si="110"/>
        <v>0</v>
      </c>
      <c r="CT51" s="57"/>
      <c r="CU51" s="39">
        <f t="shared" si="111"/>
        <v>0</v>
      </c>
      <c r="CV51" s="55"/>
      <c r="CW51" s="56"/>
      <c r="CX51" s="37">
        <f t="shared" si="112"/>
        <v>0</v>
      </c>
      <c r="CY51" s="57"/>
      <c r="CZ51" s="39">
        <f t="shared" si="113"/>
        <v>0</v>
      </c>
      <c r="DA51" s="57"/>
      <c r="DB51" s="39">
        <f t="shared" si="114"/>
        <v>0</v>
      </c>
      <c r="DC51" s="57"/>
      <c r="DD51" s="39">
        <f t="shared" si="115"/>
        <v>0</v>
      </c>
      <c r="DE51" s="57"/>
      <c r="DF51" s="39">
        <f t="shared" si="116"/>
        <v>0</v>
      </c>
      <c r="DG51" s="57"/>
      <c r="DH51" s="39">
        <f t="shared" si="117"/>
        <v>0</v>
      </c>
      <c r="DI51" s="41">
        <f t="shared" si="55"/>
        <v>156000</v>
      </c>
      <c r="DJ51" s="41">
        <f t="shared" ref="DJ51:DJ55" si="119">K51+X51+AK51+AX51+BK51+BX51+CK51+CX51</f>
        <v>156000</v>
      </c>
      <c r="DK51" s="41">
        <f t="shared" ref="DK51:DK55" si="120">M51+O51+Q51+S51+U51+Z51+AB51+AD51+AF51+AH51+AM51+AO51+AQ51+AS51+AU51+AZ51+BB51+BD51+BF51+BH51+BM51+BO51+BQ51+BS51+BU51+BZ51+CB51+CD51+CF51+CH51+CM51+CO51+CQ51+CS51+CU51+CZ51+DB51+DD51+DF51+DH51</f>
        <v>156000</v>
      </c>
      <c r="DL51" s="16">
        <f t="shared" si="118"/>
        <v>0</v>
      </c>
    </row>
    <row r="52" spans="1:116" x14ac:dyDescent="0.25">
      <c r="B52" s="44" t="s">
        <v>48</v>
      </c>
      <c r="C52" s="54" t="s">
        <v>33</v>
      </c>
      <c r="D52" s="53">
        <v>650</v>
      </c>
      <c r="E52" s="34">
        <f>$K$70</f>
        <v>-108.3695731319762</v>
      </c>
      <c r="F52" s="34">
        <f t="shared" ref="F52" si="121">D52*E52</f>
        <v>-70440.222535784531</v>
      </c>
      <c r="G52" s="55"/>
      <c r="H52" s="195">
        <v>-123.79</v>
      </c>
      <c r="I52" s="55"/>
      <c r="J52" s="36"/>
      <c r="K52" s="37">
        <f t="shared" si="70"/>
        <v>0</v>
      </c>
      <c r="L52" s="38"/>
      <c r="M52" s="39">
        <f t="shared" si="71"/>
        <v>0</v>
      </c>
      <c r="N52" s="38"/>
      <c r="O52" s="39">
        <f t="shared" si="72"/>
        <v>0</v>
      </c>
      <c r="P52" s="38"/>
      <c r="Q52" s="39">
        <f t="shared" si="73"/>
        <v>0</v>
      </c>
      <c r="R52" s="38"/>
      <c r="S52" s="39">
        <f t="shared" si="74"/>
        <v>0</v>
      </c>
      <c r="T52" s="38"/>
      <c r="U52" s="39">
        <f t="shared" si="75"/>
        <v>0</v>
      </c>
      <c r="V52" s="55"/>
      <c r="W52" s="56"/>
      <c r="X52" s="37">
        <f t="shared" si="76"/>
        <v>0</v>
      </c>
      <c r="Y52" s="57"/>
      <c r="Z52" s="39">
        <f t="shared" si="77"/>
        <v>0</v>
      </c>
      <c r="AA52" s="57"/>
      <c r="AB52" s="39">
        <f t="shared" si="78"/>
        <v>0</v>
      </c>
      <c r="AC52" s="57"/>
      <c r="AD52" s="39">
        <f t="shared" si="79"/>
        <v>0</v>
      </c>
      <c r="AE52" s="57"/>
      <c r="AF52" s="39">
        <f t="shared" si="80"/>
        <v>0</v>
      </c>
      <c r="AG52" s="57"/>
      <c r="AH52" s="39">
        <f t="shared" si="81"/>
        <v>0</v>
      </c>
      <c r="AI52" s="55"/>
      <c r="AJ52" s="56">
        <v>0.6</v>
      </c>
      <c r="AK52" s="37">
        <f t="shared" si="82"/>
        <v>-42264.133521470714</v>
      </c>
      <c r="AL52" s="57">
        <v>0.2</v>
      </c>
      <c r="AM52" s="39">
        <f t="shared" si="83"/>
        <v>-8452.8267042941425</v>
      </c>
      <c r="AN52" s="57">
        <v>0.15</v>
      </c>
      <c r="AO52" s="39">
        <f t="shared" si="84"/>
        <v>-6339.6200282206073</v>
      </c>
      <c r="AP52" s="57">
        <v>0.2</v>
      </c>
      <c r="AQ52" s="39">
        <f t="shared" si="85"/>
        <v>-8452.8267042941425</v>
      </c>
      <c r="AR52" s="57">
        <v>0.35</v>
      </c>
      <c r="AS52" s="39">
        <f t="shared" si="86"/>
        <v>-14792.446732514749</v>
      </c>
      <c r="AT52" s="57">
        <v>0.1</v>
      </c>
      <c r="AU52" s="39">
        <f t="shared" si="87"/>
        <v>-4226.4133521470712</v>
      </c>
      <c r="AV52" s="55"/>
      <c r="AW52" s="56">
        <v>0.25</v>
      </c>
      <c r="AX52" s="37">
        <f t="shared" si="88"/>
        <v>-17610.055633946133</v>
      </c>
      <c r="AY52" s="57">
        <v>0.2</v>
      </c>
      <c r="AZ52" s="39">
        <f t="shared" si="89"/>
        <v>-3522.0111267892266</v>
      </c>
      <c r="BA52" s="57">
        <v>0.15</v>
      </c>
      <c r="BB52" s="39">
        <f t="shared" si="90"/>
        <v>-2641.5083450919196</v>
      </c>
      <c r="BC52" s="57">
        <v>0.2</v>
      </c>
      <c r="BD52" s="39">
        <f t="shared" si="91"/>
        <v>-3522.0111267892266</v>
      </c>
      <c r="BE52" s="57">
        <v>0.35</v>
      </c>
      <c r="BF52" s="39">
        <f t="shared" si="92"/>
        <v>-6163.5194718811463</v>
      </c>
      <c r="BG52" s="57">
        <v>0.1</v>
      </c>
      <c r="BH52" s="39">
        <f t="shared" si="93"/>
        <v>-1761.0055633946133</v>
      </c>
      <c r="BI52" s="55"/>
      <c r="BJ52" s="56">
        <v>0.15</v>
      </c>
      <c r="BK52" s="37">
        <f t="shared" si="94"/>
        <v>-10566.033380367679</v>
      </c>
      <c r="BL52" s="57">
        <v>0.2</v>
      </c>
      <c r="BM52" s="39">
        <f t="shared" si="95"/>
        <v>-2113.2066760735356</v>
      </c>
      <c r="BN52" s="57">
        <v>0.15</v>
      </c>
      <c r="BO52" s="39">
        <f t="shared" si="96"/>
        <v>-1584.9050070551518</v>
      </c>
      <c r="BP52" s="57">
        <v>0.2</v>
      </c>
      <c r="BQ52" s="39">
        <f t="shared" si="97"/>
        <v>-2113.2066760735356</v>
      </c>
      <c r="BR52" s="57">
        <v>0.35</v>
      </c>
      <c r="BS52" s="39">
        <f t="shared" si="98"/>
        <v>-3698.1116831286872</v>
      </c>
      <c r="BT52" s="57">
        <v>0.1</v>
      </c>
      <c r="BU52" s="39">
        <f t="shared" si="99"/>
        <v>-1056.6033380367678</v>
      </c>
      <c r="BV52" s="55"/>
      <c r="BW52" s="56"/>
      <c r="BX52" s="37">
        <f t="shared" si="100"/>
        <v>0</v>
      </c>
      <c r="BY52" s="57"/>
      <c r="BZ52" s="39">
        <f t="shared" si="101"/>
        <v>0</v>
      </c>
      <c r="CA52" s="57"/>
      <c r="CB52" s="39">
        <f t="shared" si="102"/>
        <v>0</v>
      </c>
      <c r="CC52" s="57"/>
      <c r="CD52" s="39">
        <f t="shared" si="103"/>
        <v>0</v>
      </c>
      <c r="CE52" s="57"/>
      <c r="CF52" s="39">
        <f t="shared" si="104"/>
        <v>0</v>
      </c>
      <c r="CG52" s="57"/>
      <c r="CH52" s="39">
        <f t="shared" si="105"/>
        <v>0</v>
      </c>
      <c r="CI52" s="55"/>
      <c r="CJ52" s="56"/>
      <c r="CK52" s="37">
        <f t="shared" si="106"/>
        <v>0</v>
      </c>
      <c r="CL52" s="57"/>
      <c r="CM52" s="39">
        <f t="shared" si="107"/>
        <v>0</v>
      </c>
      <c r="CN52" s="57"/>
      <c r="CO52" s="39">
        <f t="shared" si="108"/>
        <v>0</v>
      </c>
      <c r="CP52" s="57"/>
      <c r="CQ52" s="39">
        <f t="shared" si="109"/>
        <v>0</v>
      </c>
      <c r="CR52" s="57"/>
      <c r="CS52" s="39">
        <f t="shared" si="110"/>
        <v>0</v>
      </c>
      <c r="CT52" s="57"/>
      <c r="CU52" s="39">
        <f t="shared" si="111"/>
        <v>0</v>
      </c>
      <c r="CV52" s="55"/>
      <c r="CW52" s="56"/>
      <c r="CX52" s="37">
        <f t="shared" si="112"/>
        <v>0</v>
      </c>
      <c r="CY52" s="57"/>
      <c r="CZ52" s="39">
        <f t="shared" si="113"/>
        <v>0</v>
      </c>
      <c r="DA52" s="57"/>
      <c r="DB52" s="39">
        <f t="shared" si="114"/>
        <v>0</v>
      </c>
      <c r="DC52" s="57"/>
      <c r="DD52" s="39">
        <f t="shared" si="115"/>
        <v>0</v>
      </c>
      <c r="DE52" s="57"/>
      <c r="DF52" s="39">
        <f t="shared" si="116"/>
        <v>0</v>
      </c>
      <c r="DG52" s="57"/>
      <c r="DH52" s="39">
        <f t="shared" si="117"/>
        <v>0</v>
      </c>
      <c r="DI52" s="41">
        <f t="shared" si="55"/>
        <v>-70440.222535784531</v>
      </c>
      <c r="DJ52" s="41">
        <f t="shared" si="119"/>
        <v>-70440.222535784531</v>
      </c>
      <c r="DK52" s="41">
        <f t="shared" si="120"/>
        <v>-70440.222535784531</v>
      </c>
      <c r="DL52" s="16">
        <f t="shared" si="118"/>
        <v>0</v>
      </c>
    </row>
    <row r="53" spans="1:116" x14ac:dyDescent="0.25">
      <c r="B53" s="51" t="s">
        <v>41</v>
      </c>
      <c r="C53" s="54" t="s">
        <v>33</v>
      </c>
      <c r="D53" s="53">
        <v>350</v>
      </c>
      <c r="E53" s="224">
        <f>H53*$K$81</f>
        <v>66.325999999999993</v>
      </c>
      <c r="F53" s="34">
        <v>22750</v>
      </c>
      <c r="G53" s="55"/>
      <c r="H53" s="195">
        <v>65</v>
      </c>
      <c r="I53" s="55"/>
      <c r="J53" s="36"/>
      <c r="K53" s="37">
        <f t="shared" si="70"/>
        <v>0</v>
      </c>
      <c r="L53" s="38"/>
      <c r="M53" s="39">
        <f t="shared" si="71"/>
        <v>0</v>
      </c>
      <c r="N53" s="38"/>
      <c r="O53" s="39">
        <f t="shared" si="72"/>
        <v>0</v>
      </c>
      <c r="P53" s="38"/>
      <c r="Q53" s="39">
        <f t="shared" si="73"/>
        <v>0</v>
      </c>
      <c r="R53" s="38"/>
      <c r="S53" s="39">
        <f t="shared" si="74"/>
        <v>0</v>
      </c>
      <c r="T53" s="38"/>
      <c r="U53" s="39">
        <f t="shared" si="75"/>
        <v>0</v>
      </c>
      <c r="V53" s="55"/>
      <c r="W53" s="56">
        <v>0.14285714285714288</v>
      </c>
      <c r="X53" s="37">
        <f t="shared" si="76"/>
        <v>3250.0000000000005</v>
      </c>
      <c r="Y53" s="57">
        <v>0.2</v>
      </c>
      <c r="Z53" s="39">
        <f t="shared" si="77"/>
        <v>650.00000000000011</v>
      </c>
      <c r="AA53" s="57">
        <v>0.15</v>
      </c>
      <c r="AB53" s="39">
        <f t="shared" si="78"/>
        <v>487.50000000000006</v>
      </c>
      <c r="AC53" s="57">
        <v>0.2</v>
      </c>
      <c r="AD53" s="39">
        <f t="shared" si="79"/>
        <v>650.00000000000011</v>
      </c>
      <c r="AE53" s="57">
        <v>0.35</v>
      </c>
      <c r="AF53" s="39">
        <f t="shared" si="80"/>
        <v>1137.5</v>
      </c>
      <c r="AG53" s="57">
        <v>0.1</v>
      </c>
      <c r="AH53" s="39">
        <f t="shared" si="81"/>
        <v>325.00000000000006</v>
      </c>
      <c r="AI53" s="55"/>
      <c r="AJ53" s="56">
        <v>0.14285714285714288</v>
      </c>
      <c r="AK53" s="37">
        <f t="shared" si="82"/>
        <v>3250.0000000000005</v>
      </c>
      <c r="AL53" s="57">
        <v>0.2</v>
      </c>
      <c r="AM53" s="39">
        <f t="shared" si="83"/>
        <v>650.00000000000011</v>
      </c>
      <c r="AN53" s="57">
        <v>0.15</v>
      </c>
      <c r="AO53" s="39">
        <f t="shared" si="84"/>
        <v>487.50000000000006</v>
      </c>
      <c r="AP53" s="57">
        <v>0.2</v>
      </c>
      <c r="AQ53" s="39">
        <f t="shared" si="85"/>
        <v>650.00000000000011</v>
      </c>
      <c r="AR53" s="57">
        <v>0.35</v>
      </c>
      <c r="AS53" s="39">
        <f t="shared" si="86"/>
        <v>1137.5</v>
      </c>
      <c r="AT53" s="57">
        <v>0.1</v>
      </c>
      <c r="AU53" s="39">
        <f t="shared" si="87"/>
        <v>325.00000000000006</v>
      </c>
      <c r="AV53" s="55"/>
      <c r="AW53" s="56">
        <v>0.14285714285714288</v>
      </c>
      <c r="AX53" s="37">
        <f t="shared" si="88"/>
        <v>3250.0000000000005</v>
      </c>
      <c r="AY53" s="57">
        <v>0.2</v>
      </c>
      <c r="AZ53" s="39">
        <f t="shared" si="89"/>
        <v>650.00000000000011</v>
      </c>
      <c r="BA53" s="57">
        <v>0.15</v>
      </c>
      <c r="BB53" s="39">
        <f t="shared" si="90"/>
        <v>487.50000000000006</v>
      </c>
      <c r="BC53" s="57">
        <v>0.2</v>
      </c>
      <c r="BD53" s="39">
        <f t="shared" si="91"/>
        <v>650.00000000000011</v>
      </c>
      <c r="BE53" s="57">
        <v>0.35</v>
      </c>
      <c r="BF53" s="39">
        <f t="shared" si="92"/>
        <v>1137.5</v>
      </c>
      <c r="BG53" s="57">
        <v>0.1</v>
      </c>
      <c r="BH53" s="39">
        <f t="shared" si="93"/>
        <v>325.00000000000006</v>
      </c>
      <c r="BI53" s="55"/>
      <c r="BJ53" s="56">
        <v>0.14285714285714288</v>
      </c>
      <c r="BK53" s="37">
        <f t="shared" si="94"/>
        <v>3250.0000000000005</v>
      </c>
      <c r="BL53" s="57">
        <v>0.2</v>
      </c>
      <c r="BM53" s="39">
        <f t="shared" si="95"/>
        <v>650.00000000000011</v>
      </c>
      <c r="BN53" s="57">
        <v>0.15</v>
      </c>
      <c r="BO53" s="39">
        <f t="shared" si="96"/>
        <v>487.50000000000006</v>
      </c>
      <c r="BP53" s="57">
        <v>0.2</v>
      </c>
      <c r="BQ53" s="39">
        <f t="shared" si="97"/>
        <v>650.00000000000011</v>
      </c>
      <c r="BR53" s="57">
        <v>0.35</v>
      </c>
      <c r="BS53" s="39">
        <f t="shared" si="98"/>
        <v>1137.5</v>
      </c>
      <c r="BT53" s="57">
        <v>0.1</v>
      </c>
      <c r="BU53" s="39">
        <f t="shared" si="99"/>
        <v>325.00000000000006</v>
      </c>
      <c r="BV53" s="55"/>
      <c r="BW53" s="56">
        <v>0.14285714285714288</v>
      </c>
      <c r="BX53" s="37">
        <f t="shared" si="100"/>
        <v>3250.0000000000005</v>
      </c>
      <c r="BY53" s="57">
        <v>0.2</v>
      </c>
      <c r="BZ53" s="39">
        <f t="shared" si="101"/>
        <v>650.00000000000011</v>
      </c>
      <c r="CA53" s="57">
        <v>0.15</v>
      </c>
      <c r="CB53" s="39">
        <f t="shared" si="102"/>
        <v>487.50000000000006</v>
      </c>
      <c r="CC53" s="57">
        <v>0.2</v>
      </c>
      <c r="CD53" s="39">
        <f t="shared" si="103"/>
        <v>650.00000000000011</v>
      </c>
      <c r="CE53" s="57">
        <v>0.35</v>
      </c>
      <c r="CF53" s="39">
        <f t="shared" si="104"/>
        <v>1137.5</v>
      </c>
      <c r="CG53" s="57">
        <v>0.1</v>
      </c>
      <c r="CH53" s="39">
        <f t="shared" si="105"/>
        <v>325.00000000000006</v>
      </c>
      <c r="CI53" s="55"/>
      <c r="CJ53" s="56">
        <v>0.14285714285714288</v>
      </c>
      <c r="CK53" s="37">
        <f t="shared" si="106"/>
        <v>3250.0000000000005</v>
      </c>
      <c r="CL53" s="57">
        <v>0.2</v>
      </c>
      <c r="CM53" s="39">
        <f t="shared" si="107"/>
        <v>650.00000000000011</v>
      </c>
      <c r="CN53" s="57">
        <v>0.15</v>
      </c>
      <c r="CO53" s="39">
        <f t="shared" si="108"/>
        <v>487.50000000000006</v>
      </c>
      <c r="CP53" s="57">
        <v>0.2</v>
      </c>
      <c r="CQ53" s="39">
        <f t="shared" si="109"/>
        <v>650.00000000000011</v>
      </c>
      <c r="CR53" s="57">
        <v>0.35</v>
      </c>
      <c r="CS53" s="39">
        <f t="shared" si="110"/>
        <v>1137.5</v>
      </c>
      <c r="CT53" s="57">
        <v>0.1</v>
      </c>
      <c r="CU53" s="39">
        <f t="shared" si="111"/>
        <v>325.00000000000006</v>
      </c>
      <c r="CV53" s="55"/>
      <c r="CW53" s="56">
        <v>0.14285714285714288</v>
      </c>
      <c r="CX53" s="37">
        <f t="shared" si="112"/>
        <v>3250.0000000000005</v>
      </c>
      <c r="CY53" s="57">
        <v>0.2</v>
      </c>
      <c r="CZ53" s="39">
        <f t="shared" si="113"/>
        <v>650.00000000000011</v>
      </c>
      <c r="DA53" s="57">
        <v>0.15</v>
      </c>
      <c r="DB53" s="39">
        <f t="shared" si="114"/>
        <v>487.50000000000006</v>
      </c>
      <c r="DC53" s="57">
        <v>0.2</v>
      </c>
      <c r="DD53" s="39">
        <f t="shared" si="115"/>
        <v>650.00000000000011</v>
      </c>
      <c r="DE53" s="57">
        <v>0.35</v>
      </c>
      <c r="DF53" s="39">
        <f t="shared" si="116"/>
        <v>1137.5</v>
      </c>
      <c r="DG53" s="57">
        <v>0.1</v>
      </c>
      <c r="DH53" s="39">
        <f t="shared" si="117"/>
        <v>325.00000000000006</v>
      </c>
      <c r="DI53" s="41">
        <f t="shared" si="55"/>
        <v>22750</v>
      </c>
      <c r="DJ53" s="41">
        <f t="shared" si="119"/>
        <v>22750.000000000004</v>
      </c>
      <c r="DK53" s="41">
        <f t="shared" si="120"/>
        <v>22750.000000000004</v>
      </c>
      <c r="DL53" s="16">
        <f t="shared" si="118"/>
        <v>0</v>
      </c>
    </row>
    <row r="54" spans="1:116" x14ac:dyDescent="0.25">
      <c r="B54" s="44"/>
      <c r="C54" s="54"/>
      <c r="D54" s="43"/>
      <c r="E54" s="34"/>
      <c r="F54" s="34"/>
      <c r="G54" s="55"/>
      <c r="H54" s="195">
        <v>0</v>
      </c>
      <c r="I54" s="55"/>
      <c r="J54" s="36"/>
      <c r="K54" s="37">
        <f t="shared" si="70"/>
        <v>0</v>
      </c>
      <c r="L54" s="38"/>
      <c r="M54" s="39">
        <f t="shared" si="71"/>
        <v>0</v>
      </c>
      <c r="N54" s="38"/>
      <c r="O54" s="39">
        <f t="shared" si="72"/>
        <v>0</v>
      </c>
      <c r="P54" s="38"/>
      <c r="Q54" s="39">
        <f t="shared" si="73"/>
        <v>0</v>
      </c>
      <c r="R54" s="38"/>
      <c r="S54" s="39">
        <f t="shared" si="74"/>
        <v>0</v>
      </c>
      <c r="T54" s="38"/>
      <c r="U54" s="39">
        <f t="shared" si="75"/>
        <v>0</v>
      </c>
      <c r="V54" s="55"/>
      <c r="W54" s="56"/>
      <c r="X54" s="37">
        <f t="shared" si="76"/>
        <v>0</v>
      </c>
      <c r="Y54" s="57"/>
      <c r="Z54" s="39">
        <f t="shared" si="77"/>
        <v>0</v>
      </c>
      <c r="AA54" s="57"/>
      <c r="AB54" s="39">
        <f t="shared" si="78"/>
        <v>0</v>
      </c>
      <c r="AC54" s="57"/>
      <c r="AD54" s="39">
        <f t="shared" si="79"/>
        <v>0</v>
      </c>
      <c r="AE54" s="57"/>
      <c r="AF54" s="39">
        <f t="shared" si="80"/>
        <v>0</v>
      </c>
      <c r="AG54" s="57"/>
      <c r="AH54" s="39">
        <f t="shared" si="81"/>
        <v>0</v>
      </c>
      <c r="AI54" s="55"/>
      <c r="AJ54" s="56"/>
      <c r="AK54" s="37">
        <f t="shared" si="82"/>
        <v>0</v>
      </c>
      <c r="AL54" s="57"/>
      <c r="AM54" s="39">
        <f t="shared" si="83"/>
        <v>0</v>
      </c>
      <c r="AN54" s="57"/>
      <c r="AO54" s="39">
        <f t="shared" si="84"/>
        <v>0</v>
      </c>
      <c r="AP54" s="57"/>
      <c r="AQ54" s="39">
        <f t="shared" si="85"/>
        <v>0</v>
      </c>
      <c r="AR54" s="57"/>
      <c r="AS54" s="39">
        <f t="shared" si="86"/>
        <v>0</v>
      </c>
      <c r="AT54" s="57"/>
      <c r="AU54" s="39">
        <f t="shared" si="87"/>
        <v>0</v>
      </c>
      <c r="AV54" s="55"/>
      <c r="AW54" s="56"/>
      <c r="AX54" s="37">
        <f t="shared" si="88"/>
        <v>0</v>
      </c>
      <c r="AY54" s="57"/>
      <c r="AZ54" s="39">
        <f t="shared" si="89"/>
        <v>0</v>
      </c>
      <c r="BA54" s="57"/>
      <c r="BB54" s="39">
        <f t="shared" si="90"/>
        <v>0</v>
      </c>
      <c r="BC54" s="57"/>
      <c r="BD54" s="39">
        <f t="shared" si="91"/>
        <v>0</v>
      </c>
      <c r="BE54" s="57"/>
      <c r="BF54" s="39">
        <f t="shared" si="92"/>
        <v>0</v>
      </c>
      <c r="BG54" s="57"/>
      <c r="BH54" s="39">
        <f t="shared" si="93"/>
        <v>0</v>
      </c>
      <c r="BI54" s="55"/>
      <c r="BJ54" s="56"/>
      <c r="BK54" s="37">
        <f t="shared" si="94"/>
        <v>0</v>
      </c>
      <c r="BL54" s="57"/>
      <c r="BM54" s="39">
        <f t="shared" si="95"/>
        <v>0</v>
      </c>
      <c r="BN54" s="57"/>
      <c r="BO54" s="39">
        <f t="shared" si="96"/>
        <v>0</v>
      </c>
      <c r="BP54" s="57"/>
      <c r="BQ54" s="39">
        <f t="shared" si="97"/>
        <v>0</v>
      </c>
      <c r="BR54" s="57"/>
      <c r="BS54" s="39">
        <f t="shared" si="98"/>
        <v>0</v>
      </c>
      <c r="BT54" s="57"/>
      <c r="BU54" s="39">
        <f t="shared" si="99"/>
        <v>0</v>
      </c>
      <c r="BV54" s="55"/>
      <c r="BW54" s="56"/>
      <c r="BX54" s="37">
        <f t="shared" si="100"/>
        <v>0</v>
      </c>
      <c r="BY54" s="57"/>
      <c r="BZ54" s="39">
        <f t="shared" si="101"/>
        <v>0</v>
      </c>
      <c r="CA54" s="57"/>
      <c r="CB54" s="39">
        <f t="shared" si="102"/>
        <v>0</v>
      </c>
      <c r="CC54" s="57"/>
      <c r="CD54" s="39">
        <f t="shared" si="103"/>
        <v>0</v>
      </c>
      <c r="CE54" s="57"/>
      <c r="CF54" s="39">
        <f t="shared" si="104"/>
        <v>0</v>
      </c>
      <c r="CG54" s="57"/>
      <c r="CH54" s="39">
        <f t="shared" si="105"/>
        <v>0</v>
      </c>
      <c r="CI54" s="55"/>
      <c r="CJ54" s="56"/>
      <c r="CK54" s="37">
        <f t="shared" si="106"/>
        <v>0</v>
      </c>
      <c r="CL54" s="57"/>
      <c r="CM54" s="39">
        <f t="shared" si="107"/>
        <v>0</v>
      </c>
      <c r="CN54" s="57"/>
      <c r="CO54" s="39">
        <f t="shared" si="108"/>
        <v>0</v>
      </c>
      <c r="CP54" s="57"/>
      <c r="CQ54" s="39">
        <f t="shared" si="109"/>
        <v>0</v>
      </c>
      <c r="CR54" s="57"/>
      <c r="CS54" s="39">
        <f t="shared" si="110"/>
        <v>0</v>
      </c>
      <c r="CT54" s="57"/>
      <c r="CU54" s="39">
        <f t="shared" si="111"/>
        <v>0</v>
      </c>
      <c r="CV54" s="55"/>
      <c r="CW54" s="56"/>
      <c r="CX54" s="37">
        <f t="shared" si="112"/>
        <v>0</v>
      </c>
      <c r="CY54" s="57"/>
      <c r="CZ54" s="39">
        <f t="shared" si="113"/>
        <v>0</v>
      </c>
      <c r="DA54" s="57"/>
      <c r="DB54" s="39">
        <f t="shared" si="114"/>
        <v>0</v>
      </c>
      <c r="DC54" s="57"/>
      <c r="DD54" s="39">
        <f t="shared" si="115"/>
        <v>0</v>
      </c>
      <c r="DE54" s="57"/>
      <c r="DF54" s="39">
        <f t="shared" si="116"/>
        <v>0</v>
      </c>
      <c r="DG54" s="57"/>
      <c r="DH54" s="39">
        <f t="shared" si="117"/>
        <v>0</v>
      </c>
      <c r="DI54" s="41">
        <f t="shared" si="55"/>
        <v>0</v>
      </c>
      <c r="DJ54" s="41">
        <f t="shared" si="119"/>
        <v>0</v>
      </c>
      <c r="DK54" s="41">
        <f t="shared" si="120"/>
        <v>0</v>
      </c>
      <c r="DL54" s="16">
        <f t="shared" si="118"/>
        <v>0</v>
      </c>
    </row>
    <row r="55" spans="1:116" x14ac:dyDescent="0.25">
      <c r="B55" s="58" t="s">
        <v>0</v>
      </c>
      <c r="C55" s="59"/>
      <c r="D55" s="60"/>
      <c r="E55" s="61"/>
      <c r="F55" s="62">
        <f>SUM(F4:F54)</f>
        <v>23676409.635496218</v>
      </c>
      <c r="G55" s="62">
        <f>SUM(G4:G54)</f>
        <v>0</v>
      </c>
      <c r="H55" s="195">
        <v>0</v>
      </c>
      <c r="I55" s="62"/>
      <c r="J55" s="62"/>
      <c r="K55" s="62">
        <f>SUM(K4:K54)</f>
        <v>637500</v>
      </c>
      <c r="L55" s="62"/>
      <c r="M55" s="62">
        <f>SUM(M4:M54)</f>
        <v>127500</v>
      </c>
      <c r="N55" s="62"/>
      <c r="O55" s="62">
        <f>SUM(O4:O54)</f>
        <v>95625</v>
      </c>
      <c r="P55" s="62"/>
      <c r="Q55" s="62">
        <f>SUM(Q4:Q54)</f>
        <v>127500</v>
      </c>
      <c r="R55" s="62"/>
      <c r="S55" s="62">
        <f>SUM(S4:S54)</f>
        <v>223125</v>
      </c>
      <c r="T55" s="62"/>
      <c r="U55" s="62">
        <f>SUM(U4:U54)</f>
        <v>63750</v>
      </c>
      <c r="V55" s="62">
        <f>SUM(V4:V54)</f>
        <v>0</v>
      </c>
      <c r="W55" s="62"/>
      <c r="X55" s="62">
        <f>SUM(X4:X54)</f>
        <v>1230188.7142857143</v>
      </c>
      <c r="Y55" s="62"/>
      <c r="Z55" s="62">
        <f>SUM(Z4:Z54)</f>
        <v>477588.71428571432</v>
      </c>
      <c r="AA55" s="62"/>
      <c r="AB55" s="62">
        <f>SUM(AB4:AB54)</f>
        <v>141112.5</v>
      </c>
      <c r="AC55" s="62"/>
      <c r="AD55" s="62">
        <f>SUM(AD4:AD54)</f>
        <v>196900</v>
      </c>
      <c r="AE55" s="62"/>
      <c r="AF55" s="62">
        <f>SUM(AF4:AF54)</f>
        <v>338012.5</v>
      </c>
      <c r="AG55" s="62"/>
      <c r="AH55" s="62">
        <f>SUM(AH4:AH54)</f>
        <v>76575</v>
      </c>
      <c r="AI55" s="62">
        <f>SUM(AI4:AI54)</f>
        <v>0</v>
      </c>
      <c r="AJ55" s="62"/>
      <c r="AK55" s="62">
        <f>SUM(AK4:AK54)</f>
        <v>13748107.306628942</v>
      </c>
      <c r="AL55" s="62"/>
      <c r="AM55" s="62">
        <f>SUM(AM4:AM54)</f>
        <v>12842438.61344612</v>
      </c>
      <c r="AN55" s="62"/>
      <c r="AO55" s="62">
        <f>SUM(AO4:AO54)</f>
        <v>109312.87997177939</v>
      </c>
      <c r="AP55" s="62"/>
      <c r="AQ55" s="62">
        <f>SUM(AQ4:AQ54)</f>
        <v>160417.17329570587</v>
      </c>
      <c r="AR55" s="62"/>
      <c r="AS55" s="62">
        <f>SUM(AS4:AS54)</f>
        <v>181730.05326748526</v>
      </c>
      <c r="AT55" s="62"/>
      <c r="AU55" s="62">
        <f>SUM(AU4:AU54)</f>
        <v>454208.58664785291</v>
      </c>
      <c r="AV55" s="62">
        <f>SUM(AV4:AV54)</f>
        <v>0</v>
      </c>
      <c r="AW55" s="62"/>
      <c r="AX55" s="62">
        <f>SUM(AX4:AX54)</f>
        <v>2536526.8531834749</v>
      </c>
      <c r="AY55" s="62"/>
      <c r="AZ55" s="62">
        <f>SUM(AZ4:AZ54)</f>
        <v>1577723.366470498</v>
      </c>
      <c r="BA55" s="62"/>
      <c r="BB55" s="62">
        <f>SUM(BB4:BB54)</f>
        <v>114896.16179047847</v>
      </c>
      <c r="BC55" s="62"/>
      <c r="BD55" s="62">
        <f>SUM(BD4:BD54)</f>
        <v>170548.24407656633</v>
      </c>
      <c r="BE55" s="62"/>
      <c r="BF55" s="62">
        <f>SUM(BF4:BF54)</f>
        <v>191074.23573147441</v>
      </c>
      <c r="BG55" s="62"/>
      <c r="BH55" s="62">
        <f>SUM(BH4:BH54)</f>
        <v>482284.84511445736</v>
      </c>
      <c r="BI55" s="62">
        <f>SUM(BI4:BI54)</f>
        <v>0</v>
      </c>
      <c r="BJ55" s="62"/>
      <c r="BK55" s="62">
        <f>SUM(BK4:BK54)</f>
        <v>-1782741.6847809975</v>
      </c>
      <c r="BL55" s="62"/>
      <c r="BM55" s="62">
        <f>SUM(BM4:BM54)</f>
        <v>-2368358.8580767033</v>
      </c>
      <c r="BN55" s="62"/>
      <c r="BO55" s="62">
        <f>SUM(BO4:BO54)</f>
        <v>103787.59499294485</v>
      </c>
      <c r="BP55" s="62"/>
      <c r="BQ55" s="62">
        <f>SUM(BQ4:BQ54)</f>
        <v>170716.79332392645</v>
      </c>
      <c r="BR55" s="62"/>
      <c r="BS55" s="62">
        <f>SUM(BS4:BS54)</f>
        <v>265754.38831687131</v>
      </c>
      <c r="BT55" s="62"/>
      <c r="BU55" s="62">
        <f>SUM(BU4:BU54)</f>
        <v>45358.396661963234</v>
      </c>
      <c r="BV55" s="62">
        <f>SUM(BV4:BV54)</f>
        <v>0</v>
      </c>
      <c r="BW55" s="62"/>
      <c r="BX55" s="62">
        <f>SUM(BX4:BX54)</f>
        <v>-1601774.9378615553</v>
      </c>
      <c r="BY55" s="62"/>
      <c r="BZ55" s="62">
        <f>SUM(BZ4:BZ54)</f>
        <v>-1871086.5884449536</v>
      </c>
      <c r="CA55" s="62"/>
      <c r="CB55" s="62">
        <f>SUM(CB4:CB54)</f>
        <v>50495.934484387137</v>
      </c>
      <c r="CC55" s="62"/>
      <c r="CD55" s="62">
        <f>SUM(CD4:CD54)</f>
        <v>79232.390807311895</v>
      </c>
      <c r="CE55" s="62"/>
      <c r="CF55" s="62">
        <f>SUM(CF4:CF54)</f>
        <v>129728.32529169902</v>
      </c>
      <c r="CG55" s="62"/>
      <c r="CH55" s="62">
        <f>SUM(CH4:CH54)</f>
        <v>9855</v>
      </c>
      <c r="CI55" s="62">
        <f>SUM(CI4:CI54)</f>
        <v>0</v>
      </c>
      <c r="CJ55" s="62"/>
      <c r="CK55" s="62">
        <f>SUM(CK4:CK54)</f>
        <v>110188.71428571429</v>
      </c>
      <c r="CL55" s="62"/>
      <c r="CM55" s="62">
        <f>SUM(CM4:CM54)</f>
        <v>37588.71428571429</v>
      </c>
      <c r="CN55" s="62"/>
      <c r="CO55" s="62">
        <f>SUM(CO4:CO54)</f>
        <v>13612.5</v>
      </c>
      <c r="CP55" s="62"/>
      <c r="CQ55" s="62">
        <f>SUM(CQ4:CQ54)</f>
        <v>18150</v>
      </c>
      <c r="CR55" s="62"/>
      <c r="CS55" s="62">
        <f>SUM(CS4:CS54)</f>
        <v>31762.5</v>
      </c>
      <c r="CT55" s="62"/>
      <c r="CU55" s="62">
        <f>SUM(CU4:CU54)</f>
        <v>9075</v>
      </c>
      <c r="CV55" s="62">
        <f>SUM(CV4:CV54)</f>
        <v>0</v>
      </c>
      <c r="CW55" s="62"/>
      <c r="CX55" s="62">
        <f>SUM(CX4:CX54)</f>
        <v>1778123.4098339758</v>
      </c>
      <c r="CY55" s="62"/>
      <c r="CZ55" s="62">
        <f>SUM(CZ4:CZ54)</f>
        <v>371175.65339536662</v>
      </c>
      <c r="DA55" s="62"/>
      <c r="DB55" s="62">
        <f>SUM(DB4:DB54)</f>
        <v>263802.70433223923</v>
      </c>
      <c r="DC55" s="62"/>
      <c r="DD55" s="62">
        <f>SUM(DD4:DD54)</f>
        <v>435133.67388706544</v>
      </c>
      <c r="DE55" s="62"/>
      <c r="DF55" s="62">
        <f>SUM(DF4:DF54)</f>
        <v>698936.37821930461</v>
      </c>
      <c r="DG55" s="62"/>
      <c r="DH55" s="62">
        <f>SUM(DH4:DH54)</f>
        <v>9075</v>
      </c>
      <c r="DI55" s="41">
        <f t="shared" si="55"/>
        <v>23676409.635496218</v>
      </c>
      <c r="DJ55" s="41">
        <f t="shared" si="119"/>
        <v>16656118.375575269</v>
      </c>
      <c r="DK55" s="41">
        <f t="shared" si="120"/>
        <v>16656118.375575271</v>
      </c>
      <c r="DL55" s="16"/>
    </row>
    <row r="56" spans="1:116" x14ac:dyDescent="0.25">
      <c r="F56" s="66">
        <f>'15 02 16 Scherer'!F53</f>
        <v>-1533844.5424305564</v>
      </c>
      <c r="H56" s="195">
        <v>0</v>
      </c>
      <c r="K56" s="37">
        <f>J56*F56</f>
        <v>0</v>
      </c>
      <c r="DI56" s="41">
        <f t="shared" si="55"/>
        <v>-1533844.5424305564</v>
      </c>
      <c r="DJ56" s="41">
        <f t="shared" si="60"/>
        <v>0</v>
      </c>
      <c r="DK56" s="41">
        <f t="shared" si="61"/>
        <v>0</v>
      </c>
      <c r="DL56" s="16">
        <f t="shared" si="52"/>
        <v>1</v>
      </c>
    </row>
    <row r="57" spans="1:116" x14ac:dyDescent="0.25">
      <c r="H57" s="195">
        <v>0</v>
      </c>
      <c r="K57" s="37">
        <f>J57*F57</f>
        <v>0</v>
      </c>
      <c r="DI57" s="41" t="e">
        <f>POWER((DI55-DJ55),10000)</f>
        <v>#NUM!</v>
      </c>
      <c r="DJ57" s="41">
        <f>POWER((DJ55-DK55),10000)</f>
        <v>0</v>
      </c>
      <c r="DK57" s="41"/>
      <c r="DL57" s="16"/>
    </row>
    <row r="58" spans="1:116" x14ac:dyDescent="0.25">
      <c r="H58" s="195">
        <v>0</v>
      </c>
      <c r="K58" s="37">
        <f>J58*F58</f>
        <v>0</v>
      </c>
      <c r="DI58" s="41">
        <f>F58</f>
        <v>0</v>
      </c>
      <c r="DJ58" s="41">
        <f t="shared" si="60"/>
        <v>0</v>
      </c>
      <c r="DK58" s="41">
        <f t="shared" si="61"/>
        <v>0</v>
      </c>
      <c r="DL58" s="16">
        <f t="shared" si="52"/>
        <v>0</v>
      </c>
    </row>
    <row r="59" spans="1:116" x14ac:dyDescent="0.25">
      <c r="B59" s="2" t="s">
        <v>187</v>
      </c>
      <c r="C59" s="45" t="s">
        <v>21</v>
      </c>
      <c r="D59" s="43">
        <v>1</v>
      </c>
      <c r="E59" s="50">
        <v>186080</v>
      </c>
      <c r="F59" s="34">
        <v>186080</v>
      </c>
      <c r="G59" s="40"/>
      <c r="H59" s="195">
        <v>186080</v>
      </c>
      <c r="I59" s="40"/>
      <c r="J59" s="36"/>
      <c r="K59" s="37">
        <f t="shared" ref="K59:K60" si="122">J59*$F59</f>
        <v>0</v>
      </c>
      <c r="L59" s="38"/>
      <c r="M59" s="39">
        <f t="shared" ref="M59:M60" si="123">L59*K59</f>
        <v>0</v>
      </c>
      <c r="N59" s="38"/>
      <c r="O59" s="39">
        <f t="shared" ref="O59:O60" si="124">N59*K59</f>
        <v>0</v>
      </c>
      <c r="P59" s="38"/>
      <c r="Q59" s="39">
        <f t="shared" ref="Q59:Q60" si="125">P59*K59</f>
        <v>0</v>
      </c>
      <c r="R59" s="38"/>
      <c r="S59" s="39">
        <f t="shared" ref="S59:S60" si="126">R59*K59</f>
        <v>0</v>
      </c>
      <c r="T59" s="38"/>
      <c r="U59" s="39">
        <f t="shared" ref="U59:U60" si="127">T59*K59</f>
        <v>0</v>
      </c>
      <c r="V59" s="40"/>
      <c r="W59" s="36"/>
      <c r="X59" s="37">
        <f t="shared" ref="X59:X60" si="128">W59*$F59</f>
        <v>0</v>
      </c>
      <c r="Y59" s="38"/>
      <c r="Z59" s="39">
        <f t="shared" ref="Z59:Z60" si="129">Y59*X59</f>
        <v>0</v>
      </c>
      <c r="AA59" s="38"/>
      <c r="AB59" s="39">
        <f t="shared" ref="AB59:AB60" si="130">AA59*X59</f>
        <v>0</v>
      </c>
      <c r="AC59" s="38"/>
      <c r="AD59" s="39">
        <f t="shared" ref="AD59:AD60" si="131">AC59*X59</f>
        <v>0</v>
      </c>
      <c r="AE59" s="38"/>
      <c r="AF59" s="39">
        <f t="shared" ref="AF59:AF60" si="132">AE59*X59</f>
        <v>0</v>
      </c>
      <c r="AG59" s="38"/>
      <c r="AH59" s="39">
        <f t="shared" ref="AH59:AH60" si="133">AG59*X59</f>
        <v>0</v>
      </c>
      <c r="AI59" s="40"/>
      <c r="AJ59" s="36"/>
      <c r="AK59" s="37">
        <f t="shared" ref="AK59:AK60" si="134">AJ59*$F59</f>
        <v>0</v>
      </c>
      <c r="AL59" s="38"/>
      <c r="AM59" s="39">
        <f t="shared" ref="AM59:AM60" si="135">AL59*AK59</f>
        <v>0</v>
      </c>
      <c r="AN59" s="38"/>
      <c r="AO59" s="39">
        <f t="shared" ref="AO59:AO60" si="136">AN59*AK59</f>
        <v>0</v>
      </c>
      <c r="AP59" s="38"/>
      <c r="AQ59" s="39">
        <f t="shared" ref="AQ59:AQ60" si="137">AP59*AK59</f>
        <v>0</v>
      </c>
      <c r="AR59" s="38"/>
      <c r="AS59" s="39">
        <f t="shared" ref="AS59:AS60" si="138">AR59*AK59</f>
        <v>0</v>
      </c>
      <c r="AT59" s="38"/>
      <c r="AU59" s="39">
        <f t="shared" ref="AU59:AU60" si="139">AT59*AK59</f>
        <v>0</v>
      </c>
      <c r="AV59" s="40"/>
      <c r="AW59" s="127">
        <v>1</v>
      </c>
      <c r="AX59" s="39">
        <f>AW59*AF59</f>
        <v>0</v>
      </c>
      <c r="AY59" s="129">
        <v>1</v>
      </c>
      <c r="AZ59" s="39">
        <f>AY59*AX59</f>
        <v>0</v>
      </c>
      <c r="BA59" s="38"/>
      <c r="BB59" s="39">
        <f t="shared" ref="BB59:BB60" si="140">BA59*AX59</f>
        <v>0</v>
      </c>
      <c r="BC59" s="38"/>
      <c r="BD59" s="39">
        <f t="shared" ref="BD59:BD60" si="141">BC59*AX59</f>
        <v>0</v>
      </c>
      <c r="BE59" s="38"/>
      <c r="BF59" s="39">
        <f t="shared" ref="BF59:BF60" si="142">BE59*AX59</f>
        <v>0</v>
      </c>
      <c r="BG59" s="38"/>
      <c r="BH59" s="39">
        <f t="shared" ref="BH59:BH60" si="143">BG59*AX59</f>
        <v>0</v>
      </c>
      <c r="BI59" s="40"/>
      <c r="BJ59" s="36"/>
      <c r="BK59" s="37">
        <f t="shared" ref="BK59:BK60" si="144">BJ59*$F59</f>
        <v>0</v>
      </c>
      <c r="BL59" s="38"/>
      <c r="BM59" s="39">
        <f t="shared" ref="BM59:BM60" si="145">BL59*BK59</f>
        <v>0</v>
      </c>
      <c r="BN59" s="38"/>
      <c r="BO59" s="39">
        <f t="shared" ref="BO59:BO60" si="146">BN59*BK59</f>
        <v>0</v>
      </c>
      <c r="BP59" s="38"/>
      <c r="BQ59" s="39">
        <f t="shared" ref="BQ59:BQ60" si="147">BP59*BK59</f>
        <v>0</v>
      </c>
      <c r="BR59" s="38"/>
      <c r="BS59" s="39">
        <f t="shared" ref="BS59:BS60" si="148">BR59*BK59</f>
        <v>0</v>
      </c>
      <c r="BT59" s="38"/>
      <c r="BU59" s="39">
        <f t="shared" ref="BU59:BU60" si="149">BT59*BK59</f>
        <v>0</v>
      </c>
      <c r="BV59" s="40"/>
      <c r="BW59" s="36"/>
      <c r="BX59" s="37">
        <f t="shared" ref="BX59:BX60" si="150">BW59*$F59</f>
        <v>0</v>
      </c>
      <c r="BY59" s="38"/>
      <c r="BZ59" s="39">
        <f t="shared" ref="BZ59:BZ60" si="151">BY59*BX59</f>
        <v>0</v>
      </c>
      <c r="CA59" s="38"/>
      <c r="CB59" s="39">
        <f t="shared" ref="CB59:CB60" si="152">CA59*BX59</f>
        <v>0</v>
      </c>
      <c r="CC59" s="38"/>
      <c r="CD59" s="39">
        <f t="shared" ref="CD59:CD60" si="153">CC59*BX59</f>
        <v>0</v>
      </c>
      <c r="CE59" s="38"/>
      <c r="CF59" s="39">
        <f t="shared" ref="CF59:CF60" si="154">CE59*BX59</f>
        <v>0</v>
      </c>
      <c r="CG59" s="38"/>
      <c r="CH59" s="39">
        <f t="shared" ref="CH59:CH60" si="155">CG59*BX59</f>
        <v>0</v>
      </c>
      <c r="CI59" s="40"/>
      <c r="CJ59" s="36"/>
      <c r="CK59" s="37">
        <f t="shared" ref="CK59:CK60" si="156">CJ59*$F59</f>
        <v>0</v>
      </c>
      <c r="CL59" s="38"/>
      <c r="CM59" s="39">
        <f t="shared" ref="CM59:CM60" si="157">CL59*CK59</f>
        <v>0</v>
      </c>
      <c r="CN59" s="38"/>
      <c r="CO59" s="39">
        <f t="shared" ref="CO59:CO60" si="158">CN59*CK59</f>
        <v>0</v>
      </c>
      <c r="CP59" s="38"/>
      <c r="CQ59" s="39">
        <f t="shared" ref="CQ59:CQ60" si="159">CP59*CK59</f>
        <v>0</v>
      </c>
      <c r="CR59" s="38"/>
      <c r="CS59" s="39">
        <f t="shared" ref="CS59:CS60" si="160">CR59*CK59</f>
        <v>0</v>
      </c>
      <c r="CT59" s="38"/>
      <c r="CU59" s="39">
        <f t="shared" ref="CU59:CU60" si="161">CT59*CK59</f>
        <v>0</v>
      </c>
      <c r="CV59" s="40"/>
      <c r="CW59" s="36"/>
      <c r="CX59" s="37">
        <f t="shared" ref="CX59:CX60" si="162">CW59*$F59</f>
        <v>0</v>
      </c>
      <c r="CY59" s="38"/>
      <c r="CZ59" s="39">
        <f t="shared" ref="CZ59:CZ60" si="163">CY59*CX59</f>
        <v>0</v>
      </c>
      <c r="DA59" s="38"/>
      <c r="DB59" s="39">
        <f t="shared" ref="DB59:DB60" si="164">DA59*CX59</f>
        <v>0</v>
      </c>
      <c r="DC59" s="38"/>
      <c r="DD59" s="39">
        <f t="shared" ref="DD59:DD60" si="165">DC59*CX59</f>
        <v>0</v>
      </c>
      <c r="DE59" s="38"/>
      <c r="DF59" s="39">
        <f t="shared" ref="DF59:DF60" si="166">DE59*CX59</f>
        <v>0</v>
      </c>
      <c r="DG59" s="38"/>
      <c r="DH59" s="39">
        <f t="shared" ref="DH59:DH60" si="167">DG59*CX59</f>
        <v>0</v>
      </c>
      <c r="DI59" s="41">
        <f>F59</f>
        <v>186080</v>
      </c>
      <c r="DJ59" s="41">
        <f t="shared" si="60"/>
        <v>0</v>
      </c>
      <c r="DK59" s="41">
        <f t="shared" si="61"/>
        <v>0</v>
      </c>
      <c r="DL59" s="16">
        <f t="shared" si="52"/>
        <v>1</v>
      </c>
    </row>
    <row r="60" spans="1:116" x14ac:dyDescent="0.25">
      <c r="B60" s="2" t="s">
        <v>50</v>
      </c>
      <c r="C60" s="45" t="s">
        <v>33</v>
      </c>
      <c r="D60" s="43">
        <v>9304</v>
      </c>
      <c r="E60" s="50">
        <v>65</v>
      </c>
      <c r="F60" s="34">
        <v>604760</v>
      </c>
      <c r="G60" s="40"/>
      <c r="H60" s="195">
        <v>65</v>
      </c>
      <c r="I60" s="40"/>
      <c r="J60" s="36"/>
      <c r="K60" s="37">
        <f t="shared" si="122"/>
        <v>0</v>
      </c>
      <c r="L60" s="38"/>
      <c r="M60" s="39">
        <f t="shared" si="123"/>
        <v>0</v>
      </c>
      <c r="N60" s="38"/>
      <c r="O60" s="39">
        <f t="shared" si="124"/>
        <v>0</v>
      </c>
      <c r="P60" s="38"/>
      <c r="Q60" s="39">
        <f t="shared" si="125"/>
        <v>0</v>
      </c>
      <c r="R60" s="38"/>
      <c r="S60" s="39">
        <f t="shared" si="126"/>
        <v>0</v>
      </c>
      <c r="T60" s="38"/>
      <c r="U60" s="39">
        <f t="shared" si="127"/>
        <v>0</v>
      </c>
      <c r="V60" s="40"/>
      <c r="W60" s="36"/>
      <c r="X60" s="37">
        <f t="shared" si="128"/>
        <v>0</v>
      </c>
      <c r="Y60" s="38"/>
      <c r="Z60" s="39">
        <f t="shared" si="129"/>
        <v>0</v>
      </c>
      <c r="AA60" s="38"/>
      <c r="AB60" s="39">
        <f t="shared" si="130"/>
        <v>0</v>
      </c>
      <c r="AC60" s="38"/>
      <c r="AD60" s="39">
        <f t="shared" si="131"/>
        <v>0</v>
      </c>
      <c r="AE60" s="38"/>
      <c r="AF60" s="39">
        <f t="shared" si="132"/>
        <v>0</v>
      </c>
      <c r="AG60" s="38"/>
      <c r="AH60" s="39">
        <f t="shared" si="133"/>
        <v>0</v>
      </c>
      <c r="AI60" s="40"/>
      <c r="AJ60" s="36"/>
      <c r="AK60" s="37">
        <f t="shared" si="134"/>
        <v>0</v>
      </c>
      <c r="AL60" s="38"/>
      <c r="AM60" s="39">
        <f t="shared" si="135"/>
        <v>0</v>
      </c>
      <c r="AN60" s="38"/>
      <c r="AO60" s="39">
        <f t="shared" si="136"/>
        <v>0</v>
      </c>
      <c r="AP60" s="38"/>
      <c r="AQ60" s="39">
        <f t="shared" si="137"/>
        <v>0</v>
      </c>
      <c r="AR60" s="38"/>
      <c r="AS60" s="39">
        <f t="shared" si="138"/>
        <v>0</v>
      </c>
      <c r="AT60" s="38"/>
      <c r="AU60" s="39">
        <f t="shared" si="139"/>
        <v>0</v>
      </c>
      <c r="AV60" s="40"/>
      <c r="AW60" s="127">
        <v>1</v>
      </c>
      <c r="AX60" s="39">
        <f>AW60*AF60</f>
        <v>0</v>
      </c>
      <c r="AY60" s="129">
        <v>1</v>
      </c>
      <c r="AZ60" s="39">
        <f>AY60*AX60</f>
        <v>0</v>
      </c>
      <c r="BA60" s="38"/>
      <c r="BB60" s="39">
        <f t="shared" si="140"/>
        <v>0</v>
      </c>
      <c r="BC60" s="38"/>
      <c r="BD60" s="39">
        <f t="shared" si="141"/>
        <v>0</v>
      </c>
      <c r="BE60" s="38"/>
      <c r="BF60" s="39">
        <f t="shared" si="142"/>
        <v>0</v>
      </c>
      <c r="BG60" s="38"/>
      <c r="BH60" s="39">
        <f t="shared" si="143"/>
        <v>0</v>
      </c>
      <c r="BI60" s="40"/>
      <c r="BJ60" s="36"/>
      <c r="BK60" s="37">
        <f t="shared" si="144"/>
        <v>0</v>
      </c>
      <c r="BL60" s="38"/>
      <c r="BM60" s="39">
        <f t="shared" si="145"/>
        <v>0</v>
      </c>
      <c r="BN60" s="38"/>
      <c r="BO60" s="39">
        <f t="shared" si="146"/>
        <v>0</v>
      </c>
      <c r="BP60" s="38"/>
      <c r="BQ60" s="39">
        <f t="shared" si="147"/>
        <v>0</v>
      </c>
      <c r="BR60" s="38"/>
      <c r="BS60" s="39">
        <f t="shared" si="148"/>
        <v>0</v>
      </c>
      <c r="BT60" s="38"/>
      <c r="BU60" s="39">
        <f t="shared" si="149"/>
        <v>0</v>
      </c>
      <c r="BV60" s="40"/>
      <c r="BW60" s="36"/>
      <c r="BX60" s="37">
        <f t="shared" si="150"/>
        <v>0</v>
      </c>
      <c r="BY60" s="38"/>
      <c r="BZ60" s="39">
        <f t="shared" si="151"/>
        <v>0</v>
      </c>
      <c r="CA60" s="38"/>
      <c r="CB60" s="39">
        <f t="shared" si="152"/>
        <v>0</v>
      </c>
      <c r="CC60" s="38"/>
      <c r="CD60" s="39">
        <f t="shared" si="153"/>
        <v>0</v>
      </c>
      <c r="CE60" s="38"/>
      <c r="CF60" s="39">
        <f t="shared" si="154"/>
        <v>0</v>
      </c>
      <c r="CG60" s="38"/>
      <c r="CH60" s="39">
        <f t="shared" si="155"/>
        <v>0</v>
      </c>
      <c r="CI60" s="40"/>
      <c r="CJ60" s="36"/>
      <c r="CK60" s="37">
        <f t="shared" si="156"/>
        <v>0</v>
      </c>
      <c r="CL60" s="38"/>
      <c r="CM60" s="39">
        <f t="shared" si="157"/>
        <v>0</v>
      </c>
      <c r="CN60" s="38"/>
      <c r="CO60" s="39">
        <f t="shared" si="158"/>
        <v>0</v>
      </c>
      <c r="CP60" s="38"/>
      <c r="CQ60" s="39">
        <f t="shared" si="159"/>
        <v>0</v>
      </c>
      <c r="CR60" s="38"/>
      <c r="CS60" s="39">
        <f t="shared" si="160"/>
        <v>0</v>
      </c>
      <c r="CT60" s="38"/>
      <c r="CU60" s="39">
        <f t="shared" si="161"/>
        <v>0</v>
      </c>
      <c r="CV60" s="40"/>
      <c r="CW60" s="36"/>
      <c r="CX60" s="37">
        <f t="shared" si="162"/>
        <v>0</v>
      </c>
      <c r="CY60" s="38"/>
      <c r="CZ60" s="39">
        <f t="shared" si="163"/>
        <v>0</v>
      </c>
      <c r="DA60" s="38"/>
      <c r="DB60" s="39">
        <f t="shared" si="164"/>
        <v>0</v>
      </c>
      <c r="DC60" s="38"/>
      <c r="DD60" s="39">
        <f t="shared" si="165"/>
        <v>0</v>
      </c>
      <c r="DE60" s="38"/>
      <c r="DF60" s="39">
        <f t="shared" si="166"/>
        <v>0</v>
      </c>
      <c r="DG60" s="38"/>
      <c r="DH60" s="39">
        <f t="shared" si="167"/>
        <v>0</v>
      </c>
      <c r="DI60" s="41">
        <f>F60</f>
        <v>604760</v>
      </c>
      <c r="DJ60" s="41">
        <f t="shared" si="60"/>
        <v>0</v>
      </c>
      <c r="DK60" s="41">
        <f t="shared" si="61"/>
        <v>0</v>
      </c>
      <c r="DL60" s="16">
        <f t="shared" si="52"/>
        <v>1</v>
      </c>
    </row>
    <row r="61" spans="1:116" x14ac:dyDescent="0.25">
      <c r="B61" s="46"/>
      <c r="C61" s="54"/>
      <c r="D61" s="71"/>
      <c r="E61" s="72"/>
      <c r="F61" s="72"/>
      <c r="G61" s="55"/>
      <c r="H61" s="193"/>
      <c r="I61" s="55"/>
      <c r="J61" s="56"/>
      <c r="K61" s="155"/>
      <c r="L61" s="57"/>
      <c r="M61" s="74"/>
      <c r="N61" s="57"/>
      <c r="O61" s="74"/>
      <c r="P61" s="57"/>
      <c r="Q61" s="74"/>
      <c r="R61" s="57"/>
      <c r="S61" s="74"/>
      <c r="T61" s="57"/>
      <c r="U61" s="74"/>
      <c r="V61" s="55"/>
      <c r="W61" s="56"/>
      <c r="X61" s="73"/>
      <c r="Y61" s="57"/>
      <c r="Z61" s="74"/>
      <c r="AA61" s="57"/>
      <c r="AB61" s="74"/>
      <c r="AC61" s="57"/>
      <c r="AD61" s="74"/>
      <c r="AE61" s="57"/>
      <c r="AF61" s="74"/>
      <c r="AG61" s="57"/>
      <c r="AH61" s="74"/>
      <c r="AI61" s="55"/>
      <c r="AJ61" s="56"/>
      <c r="AK61" s="73"/>
      <c r="AL61" s="57"/>
      <c r="AM61" s="74"/>
      <c r="AN61" s="57"/>
      <c r="AO61" s="74"/>
      <c r="AP61" s="57"/>
      <c r="AQ61" s="74"/>
      <c r="AR61" s="57"/>
      <c r="AS61" s="74"/>
      <c r="AT61" s="57"/>
      <c r="AU61" s="74"/>
      <c r="AV61" s="55"/>
      <c r="AW61" s="56"/>
      <c r="AX61" s="73"/>
      <c r="AY61" s="57"/>
      <c r="AZ61" s="74"/>
      <c r="BA61" s="57"/>
      <c r="BB61" s="74"/>
      <c r="BC61" s="57"/>
      <c r="BD61" s="74"/>
      <c r="BE61" s="57"/>
      <c r="BF61" s="74"/>
      <c r="BG61" s="57"/>
      <c r="BH61" s="74"/>
      <c r="BI61" s="55"/>
      <c r="BJ61" s="56"/>
      <c r="BK61" s="73"/>
      <c r="BL61" s="57"/>
      <c r="BM61" s="74"/>
      <c r="BN61" s="57"/>
      <c r="BO61" s="74"/>
      <c r="BP61" s="57"/>
      <c r="BQ61" s="74"/>
      <c r="BR61" s="57"/>
      <c r="BS61" s="74"/>
      <c r="BT61" s="57"/>
      <c r="BU61" s="74"/>
      <c r="BV61" s="55"/>
      <c r="BW61" s="56"/>
      <c r="BX61" s="73"/>
      <c r="BY61" s="57"/>
      <c r="BZ61" s="74"/>
      <c r="CA61" s="57"/>
      <c r="CB61" s="74"/>
      <c r="CC61" s="57"/>
      <c r="CD61" s="74"/>
      <c r="CE61" s="57"/>
      <c r="CF61" s="74"/>
      <c r="CG61" s="57"/>
      <c r="CH61" s="74"/>
      <c r="CI61" s="55"/>
      <c r="CJ61" s="56"/>
      <c r="CK61" s="73"/>
      <c r="CL61" s="57"/>
      <c r="CM61" s="74"/>
      <c r="CN61" s="57"/>
      <c r="CO61" s="74"/>
      <c r="CP61" s="57"/>
      <c r="CQ61" s="74"/>
      <c r="CR61" s="57"/>
      <c r="CS61" s="74"/>
      <c r="CT61" s="57"/>
      <c r="CU61" s="74"/>
      <c r="CV61" s="55"/>
      <c r="CW61" s="56"/>
      <c r="CX61" s="73"/>
      <c r="CY61" s="57"/>
      <c r="CZ61" s="74"/>
      <c r="DA61" s="57"/>
      <c r="DB61" s="74"/>
      <c r="DC61" s="57"/>
      <c r="DD61" s="74"/>
      <c r="DE61" s="57"/>
      <c r="DF61" s="74"/>
      <c r="DG61" s="57"/>
      <c r="DH61" s="74"/>
      <c r="DI61" s="41"/>
      <c r="DJ61" s="41"/>
      <c r="DK61" s="41"/>
      <c r="DL61" s="16"/>
    </row>
    <row r="62" spans="1:116" x14ac:dyDescent="0.25">
      <c r="E62" s="74" t="s">
        <v>279</v>
      </c>
      <c r="F62" s="66">
        <f>SUM(F55,F59,F60)</f>
        <v>24467249.635496218</v>
      </c>
      <c r="K62" s="155"/>
    </row>
    <row r="63" spans="1:116" x14ac:dyDescent="0.25">
      <c r="E63" s="74" t="s">
        <v>277</v>
      </c>
      <c r="F63" s="66">
        <v>21329871.126037732</v>
      </c>
      <c r="K63" s="186"/>
    </row>
    <row r="64" spans="1:116" x14ac:dyDescent="0.25">
      <c r="E64" s="74" t="s">
        <v>278</v>
      </c>
      <c r="F64" s="66">
        <v>13709930</v>
      </c>
      <c r="K64" s="173"/>
    </row>
    <row r="65" spans="2:11" x14ac:dyDescent="0.25">
      <c r="F65" s="66">
        <f>F62-F64</f>
        <v>10757319.635496218</v>
      </c>
      <c r="K65" s="173"/>
    </row>
    <row r="66" spans="2:11" ht="15.75" thickBot="1" x14ac:dyDescent="0.3">
      <c r="K66" s="173"/>
    </row>
    <row r="67" spans="2:11" ht="15.75" thickTop="1" x14ac:dyDescent="0.25">
      <c r="B67" s="196" t="s">
        <v>281</v>
      </c>
      <c r="C67" s="197"/>
      <c r="D67" s="198"/>
      <c r="E67" s="199"/>
      <c r="F67" s="200">
        <v>42735</v>
      </c>
      <c r="G67" s="201"/>
      <c r="H67" s="202"/>
      <c r="I67" s="201"/>
      <c r="J67" s="203"/>
      <c r="K67" s="204">
        <v>42735</v>
      </c>
    </row>
    <row r="68" spans="2:11" x14ac:dyDescent="0.25">
      <c r="B68" s="205"/>
      <c r="C68" s="54"/>
      <c r="D68" s="71"/>
      <c r="E68" s="72"/>
      <c r="F68" s="109" t="s">
        <v>188</v>
      </c>
      <c r="G68" s="55"/>
      <c r="H68" s="193"/>
      <c r="I68" s="55"/>
      <c r="J68" s="206"/>
      <c r="K68" s="207" t="s">
        <v>256</v>
      </c>
    </row>
    <row r="69" spans="2:11" x14ac:dyDescent="0.25">
      <c r="B69" s="208"/>
      <c r="C69" s="131"/>
      <c r="D69" s="71"/>
      <c r="E69" s="209"/>
      <c r="F69" s="188" t="s">
        <v>189</v>
      </c>
      <c r="G69" s="55"/>
      <c r="H69" s="193"/>
      <c r="I69" s="55"/>
      <c r="J69" s="206"/>
      <c r="K69" s="207" t="s">
        <v>189</v>
      </c>
    </row>
    <row r="70" spans="2:11" x14ac:dyDescent="0.25">
      <c r="B70" s="210" t="s">
        <v>284</v>
      </c>
      <c r="C70" s="131"/>
      <c r="D70" s="71"/>
      <c r="E70" s="209"/>
      <c r="F70" s="211">
        <v>147.0723668</v>
      </c>
      <c r="G70" s="55"/>
      <c r="H70" s="193"/>
      <c r="I70" s="55"/>
      <c r="J70" s="206"/>
      <c r="K70" s="212">
        <v>-108.3695731319762</v>
      </c>
    </row>
    <row r="71" spans="2:11" x14ac:dyDescent="0.25">
      <c r="B71" s="210" t="s">
        <v>285</v>
      </c>
      <c r="C71" s="131"/>
      <c r="D71" s="71"/>
      <c r="E71" s="209"/>
      <c r="F71" s="211">
        <v>0.68398715399999999</v>
      </c>
      <c r="G71" s="55"/>
      <c r="H71" s="193"/>
      <c r="I71" s="55"/>
      <c r="J71" s="206"/>
      <c r="K71" s="212">
        <v>-0.38793301271641789</v>
      </c>
    </row>
    <row r="72" spans="2:11" x14ac:dyDescent="0.25">
      <c r="B72" s="210" t="s">
        <v>286</v>
      </c>
      <c r="C72" s="131"/>
      <c r="D72" s="71"/>
      <c r="E72" s="209"/>
      <c r="F72" s="211">
        <v>1.9442985659999998</v>
      </c>
      <c r="G72" s="55"/>
      <c r="H72" s="193"/>
      <c r="I72" s="55"/>
      <c r="J72" s="206"/>
      <c r="K72" s="212">
        <v>-0.31414430979039298</v>
      </c>
    </row>
    <row r="73" spans="2:11" x14ac:dyDescent="0.25">
      <c r="B73" s="213" t="s">
        <v>287</v>
      </c>
      <c r="C73" s="131"/>
      <c r="D73" s="71"/>
      <c r="E73" s="209"/>
      <c r="F73" s="211">
        <v>0.37674735999999998</v>
      </c>
      <c r="G73" s="55"/>
      <c r="H73" s="193"/>
      <c r="I73" s="55"/>
      <c r="J73" s="206"/>
      <c r="K73" s="212">
        <v>-0.13699903999999999</v>
      </c>
    </row>
    <row r="74" spans="2:11" x14ac:dyDescent="0.25">
      <c r="B74" s="213" t="s">
        <v>288</v>
      </c>
      <c r="C74" s="131"/>
      <c r="D74" s="71"/>
      <c r="E74" s="209"/>
      <c r="F74" s="211">
        <v>0.37674735999999998</v>
      </c>
      <c r="G74" s="55"/>
      <c r="H74" s="193"/>
      <c r="I74" s="55"/>
      <c r="J74" s="206"/>
      <c r="K74" s="212">
        <v>-0.17124880000000001</v>
      </c>
    </row>
    <row r="75" spans="2:11" x14ac:dyDescent="0.25">
      <c r="B75" s="214" t="s">
        <v>282</v>
      </c>
      <c r="C75" s="131"/>
      <c r="D75" s="71"/>
      <c r="E75" s="209"/>
      <c r="F75" s="211"/>
      <c r="G75" s="55"/>
      <c r="H75" s="193"/>
      <c r="I75" s="55"/>
      <c r="J75" s="206"/>
      <c r="K75" s="207"/>
    </row>
    <row r="76" spans="2:11" x14ac:dyDescent="0.25">
      <c r="B76" s="213" t="s">
        <v>289</v>
      </c>
      <c r="C76" s="131"/>
      <c r="D76" s="71"/>
      <c r="E76" s="209"/>
      <c r="F76" s="211">
        <v>0.24658749999999999</v>
      </c>
      <c r="G76" s="55"/>
      <c r="H76" s="193"/>
      <c r="I76" s="55"/>
      <c r="J76" s="206"/>
      <c r="K76" s="212">
        <v>-0.16439166666666666</v>
      </c>
    </row>
    <row r="77" spans="2:11" x14ac:dyDescent="0.25">
      <c r="B77" s="213" t="s">
        <v>290</v>
      </c>
      <c r="C77" s="131"/>
      <c r="D77" s="71"/>
      <c r="E77" s="209"/>
      <c r="F77" s="211">
        <v>1.3714462999999999</v>
      </c>
      <c r="G77" s="55"/>
      <c r="H77" s="193"/>
      <c r="I77" s="55"/>
      <c r="J77" s="206"/>
      <c r="K77" s="212">
        <v>-1.4481109999999999</v>
      </c>
    </row>
    <row r="78" spans="2:11" x14ac:dyDescent="0.25">
      <c r="B78" s="213" t="s">
        <v>291</v>
      </c>
      <c r="C78" s="131"/>
      <c r="D78" s="71"/>
      <c r="E78" s="209"/>
      <c r="F78" s="211">
        <v>1.99079425</v>
      </c>
      <c r="G78" s="55"/>
      <c r="H78" s="193"/>
      <c r="I78" s="55"/>
      <c r="J78" s="206"/>
      <c r="K78" s="212">
        <v>-1.5206066633165829</v>
      </c>
    </row>
    <row r="79" spans="2:11" x14ac:dyDescent="0.25">
      <c r="B79" s="213" t="s">
        <v>292</v>
      </c>
      <c r="C79" s="131"/>
      <c r="D79" s="71"/>
      <c r="E79" s="209"/>
      <c r="F79" s="211">
        <v>0.37674735999999998</v>
      </c>
      <c r="G79" s="55"/>
      <c r="H79" s="193"/>
      <c r="I79" s="55"/>
      <c r="J79" s="206"/>
      <c r="K79" s="212">
        <v>-0.20549855999999997</v>
      </c>
    </row>
    <row r="80" spans="2:11" x14ac:dyDescent="0.25">
      <c r="B80" s="208"/>
      <c r="C80" s="131"/>
      <c r="D80" s="71"/>
      <c r="E80" s="209"/>
      <c r="F80" s="72"/>
      <c r="G80" s="206"/>
      <c r="H80" s="206"/>
      <c r="I80" s="206"/>
      <c r="J80" s="206"/>
      <c r="K80" s="215"/>
    </row>
    <row r="81" spans="2:11" ht="15.75" thickBot="1" x14ac:dyDescent="0.3">
      <c r="B81" s="216" t="s">
        <v>283</v>
      </c>
      <c r="C81" s="217"/>
      <c r="D81" s="218"/>
      <c r="E81" s="219"/>
      <c r="F81" s="218">
        <v>2.0400000000000001E-2</v>
      </c>
      <c r="G81" s="220"/>
      <c r="H81" s="221"/>
      <c r="I81" s="220"/>
      <c r="J81" s="222"/>
      <c r="K81" s="223">
        <v>1.0204</v>
      </c>
    </row>
    <row r="82" spans="2:11" ht="15.75" thickTop="1" x14ac:dyDescent="0.25"/>
  </sheetData>
  <mergeCells count="50">
    <mergeCell ref="BW1:CD1"/>
    <mergeCell ref="CJ1:CU1"/>
    <mergeCell ref="CW1:DH1"/>
    <mergeCell ref="C2:F2"/>
    <mergeCell ref="L2:M2"/>
    <mergeCell ref="N2:O2"/>
    <mergeCell ref="P2:Q2"/>
    <mergeCell ref="R2:S2"/>
    <mergeCell ref="T2:U2"/>
    <mergeCell ref="Y2:Z2"/>
    <mergeCell ref="C1:F1"/>
    <mergeCell ref="J1:U1"/>
    <mergeCell ref="W1:AH1"/>
    <mergeCell ref="AJ1:AU1"/>
    <mergeCell ref="AW1:BH1"/>
    <mergeCell ref="BJ1:BU1"/>
    <mergeCell ref="BC2:BD2"/>
    <mergeCell ref="AA2:AB2"/>
    <mergeCell ref="AC2:AD2"/>
    <mergeCell ref="AE2:AF2"/>
    <mergeCell ref="AG2:AH2"/>
    <mergeCell ref="AL2:AM2"/>
    <mergeCell ref="AN2:AO2"/>
    <mergeCell ref="AP2:AQ2"/>
    <mergeCell ref="AR2:AS2"/>
    <mergeCell ref="AT2:AU2"/>
    <mergeCell ref="AY2:AZ2"/>
    <mergeCell ref="BA2:BB2"/>
    <mergeCell ref="CG2:CH2"/>
    <mergeCell ref="BE2:BF2"/>
    <mergeCell ref="BG2:BH2"/>
    <mergeCell ref="BL2:BM2"/>
    <mergeCell ref="BN2:BO2"/>
    <mergeCell ref="BP2:BQ2"/>
    <mergeCell ref="BR2:BS2"/>
    <mergeCell ref="BT2:BU2"/>
    <mergeCell ref="BY2:BZ2"/>
    <mergeCell ref="CA2:CB2"/>
    <mergeCell ref="CC2:CD2"/>
    <mergeCell ref="CE2:CF2"/>
    <mergeCell ref="DA2:DB2"/>
    <mergeCell ref="DC2:DD2"/>
    <mergeCell ref="DE2:DF2"/>
    <mergeCell ref="DG2:DH2"/>
    <mergeCell ref="CL2:CM2"/>
    <mergeCell ref="CN2:CO2"/>
    <mergeCell ref="CP2:CQ2"/>
    <mergeCell ref="CR2:CS2"/>
    <mergeCell ref="CT2:CU2"/>
    <mergeCell ref="CY2:CZ2"/>
  </mergeCells>
  <printOptions gridLines="1"/>
  <pageMargins left="0.2" right="0.2" top="0.75" bottom="0.75" header="0.3" footer="0.3"/>
  <pageSetup scale="67" fitToWidth="12" fitToHeight="5" orientation="portrait" r:id="rId1"/>
  <colBreaks count="8" manualBreakCount="8">
    <brk id="6" max="60" man="1"/>
    <brk id="21" max="60" man="1"/>
    <brk id="34" max="60" man="1"/>
    <brk id="47" max="60" man="1"/>
    <brk id="60" max="60" man="1"/>
    <brk id="73" max="60" man="1"/>
    <brk id="86" max="60" man="1"/>
    <brk id="99"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zoomScaleNormal="100" workbookViewId="0">
      <pane ySplit="2" topLeftCell="A3" activePane="bottomLeft" state="frozen"/>
      <selection pane="bottomLeft" activeCell="H88" sqref="H88"/>
    </sheetView>
  </sheetViews>
  <sheetFormatPr defaultRowHeight="15" x14ac:dyDescent="0.25"/>
  <cols>
    <col min="1" max="1" width="14.7109375" style="76" customWidth="1"/>
    <col min="2" max="2" width="14.7109375" style="97" customWidth="1"/>
    <col min="3" max="3" width="14.7109375" style="76" customWidth="1"/>
    <col min="4" max="4" width="7.140625" style="76" customWidth="1"/>
    <col min="5" max="5" width="14.28515625" style="76" customWidth="1"/>
    <col min="6" max="6" width="16.42578125" style="76" customWidth="1"/>
    <col min="7" max="7" width="5.5703125" style="76" customWidth="1"/>
    <col min="8" max="8" width="16.5703125" style="76" customWidth="1"/>
    <col min="9" max="9" width="17.7109375" style="76" customWidth="1"/>
    <col min="10" max="10" width="55" style="76" customWidth="1"/>
    <col min="11" max="11" width="24.42578125" style="76" customWidth="1"/>
    <col min="12" max="12" width="18" style="76" customWidth="1"/>
    <col min="13" max="13" width="24.140625" style="76" customWidth="1"/>
    <col min="14" max="14" width="14" style="76" customWidth="1"/>
    <col min="15" max="15" width="15.7109375" style="76" customWidth="1"/>
    <col min="16" max="16" width="14" style="76" customWidth="1"/>
    <col min="17" max="17" width="14" style="145" customWidth="1"/>
    <col min="18" max="19" width="14" style="107" customWidth="1"/>
    <col min="20" max="20" width="16" style="76" customWidth="1"/>
    <col min="21" max="21" width="9.140625" style="76"/>
    <col min="22" max="22" width="101.85546875" style="76" bestFit="1" customWidth="1"/>
    <col min="23" max="16384" width="9.140625" style="76"/>
  </cols>
  <sheetData>
    <row r="1" spans="1:24" x14ac:dyDescent="0.25">
      <c r="H1" s="78">
        <f>SUBTOTAL(9,$I$3:$I$87)</f>
        <v>2515559.7776060132</v>
      </c>
      <c r="I1" s="79">
        <f>SUMIFS($I$3:$I$87,$T$3:$T$87,"BDG")</f>
        <v>1529203.1022185136</v>
      </c>
      <c r="J1" s="79"/>
      <c r="K1" s="79">
        <f>SUMIFS($I$3:$I$87,$U$3:$U$87,"MARKUP",$S$3:$S$87,"REMOVAL")</f>
        <v>2826796.5000000005</v>
      </c>
      <c r="O1" s="80">
        <f>P1-I1</f>
        <v>22938046.533277705</v>
      </c>
      <c r="P1" s="80">
        <f>'Scherer Data'!F62</f>
        <v>24467249.635496218</v>
      </c>
      <c r="Q1" s="153" t="s">
        <v>201</v>
      </c>
      <c r="R1" s="150">
        <v>0.75</v>
      </c>
      <c r="S1" s="150">
        <v>0.25</v>
      </c>
      <c r="T1" s="152" t="s">
        <v>202</v>
      </c>
    </row>
    <row r="2" spans="1:24" x14ac:dyDescent="0.25">
      <c r="A2" s="81" t="s">
        <v>51</v>
      </c>
      <c r="B2" s="82" t="s">
        <v>161</v>
      </c>
      <c r="C2" s="82" t="s">
        <v>162</v>
      </c>
      <c r="D2" s="81" t="s">
        <v>52</v>
      </c>
      <c r="E2" s="81" t="s">
        <v>53</v>
      </c>
      <c r="F2" s="81" t="s">
        <v>54</v>
      </c>
      <c r="G2" s="81" t="s">
        <v>55</v>
      </c>
      <c r="H2" s="81" t="s">
        <v>56</v>
      </c>
      <c r="I2" s="81" t="s">
        <v>57</v>
      </c>
      <c r="J2" s="81" t="s">
        <v>58</v>
      </c>
      <c r="K2" s="81" t="s">
        <v>59</v>
      </c>
      <c r="L2" s="81" t="s">
        <v>60</v>
      </c>
      <c r="M2" s="81" t="s">
        <v>293</v>
      </c>
      <c r="N2" s="81" t="s">
        <v>294</v>
      </c>
      <c r="O2" s="81" t="s">
        <v>295</v>
      </c>
      <c r="P2" s="83" t="s">
        <v>61</v>
      </c>
      <c r="Q2" s="146" t="s">
        <v>199</v>
      </c>
      <c r="R2" s="83" t="s">
        <v>200</v>
      </c>
      <c r="S2" s="95" t="s">
        <v>142</v>
      </c>
      <c r="T2" s="84">
        <v>1</v>
      </c>
      <c r="U2" s="84">
        <v>2</v>
      </c>
      <c r="V2" s="84">
        <v>3</v>
      </c>
    </row>
    <row r="3" spans="1:24" ht="15" customHeight="1" x14ac:dyDescent="0.25">
      <c r="A3" s="85" t="s">
        <v>96</v>
      </c>
      <c r="B3" s="86" t="s">
        <v>151</v>
      </c>
      <c r="C3" s="86" t="s">
        <v>71</v>
      </c>
      <c r="D3" s="85" t="s">
        <v>72</v>
      </c>
      <c r="E3" s="102" t="s">
        <v>194</v>
      </c>
      <c r="F3" s="87">
        <v>1</v>
      </c>
      <c r="G3" s="85" t="s">
        <v>14</v>
      </c>
      <c r="H3" s="169">
        <f>SUMIFS($I$3:$I$87,$E$3:$E$87,$E3,$U$3:$U$87,"MARKUP",$S$3:$S$87,"REMOVAL")*0.01*Q3</f>
        <v>108.75</v>
      </c>
      <c r="I3" s="89">
        <f>F3*H3</f>
        <v>108.75</v>
      </c>
      <c r="J3" s="105" t="s">
        <v>97</v>
      </c>
      <c r="K3" s="85" t="s">
        <v>63</v>
      </c>
      <c r="L3" s="85" t="s">
        <v>63</v>
      </c>
      <c r="M3" s="85" t="str">
        <f>J3</f>
        <v>ADMINISTRATIVE &amp; GENERAL OVERHEAD</v>
      </c>
      <c r="N3" s="225">
        <f t="shared" ref="N3:N34" si="0">H3</f>
        <v>108.75</v>
      </c>
      <c r="O3" s="226">
        <f t="shared" ref="O3:O34" si="1">I3</f>
        <v>108.75</v>
      </c>
      <c r="P3" s="88" t="s">
        <v>65</v>
      </c>
      <c r="Q3" s="147">
        <v>6.25E-2</v>
      </c>
      <c r="R3" s="143" t="s">
        <v>237</v>
      </c>
      <c r="S3" s="96" t="s">
        <v>143</v>
      </c>
      <c r="T3" s="84" t="s">
        <v>66</v>
      </c>
      <c r="U3" s="84"/>
      <c r="V3" s="84" t="str">
        <f t="shared" ref="V3:V34" si="2">A3&amp;C3&amp;D3&amp;E3&amp;F3&amp;G3&amp;H3&amp;J3</f>
        <v>3090481CCLRSCHERER-ECO1%108.75ADMINISTRATIVE &amp; GENERAL OVERHEAD</v>
      </c>
    </row>
    <row r="4" spans="1:24" s="77" customFormat="1" ht="15" customHeight="1" x14ac:dyDescent="0.25">
      <c r="A4" s="85" t="s">
        <v>96</v>
      </c>
      <c r="B4" s="86" t="s">
        <v>151</v>
      </c>
      <c r="C4" s="86" t="s">
        <v>149</v>
      </c>
      <c r="D4" s="85" t="s">
        <v>69</v>
      </c>
      <c r="E4" s="102" t="s">
        <v>297</v>
      </c>
      <c r="F4" s="87">
        <v>1</v>
      </c>
      <c r="G4" s="85" t="s">
        <v>14</v>
      </c>
      <c r="H4" s="169">
        <f>SUMIFS($I$3:$I$87,$E$3:$E$87,$E4,$U$3:$U$87,"MARKUP",$S$3:$S$87,"REMOVAL")*0.01*Q4</f>
        <v>81.5625</v>
      </c>
      <c r="I4" s="89">
        <f>F4*H4</f>
        <v>81.5625</v>
      </c>
      <c r="J4" s="105" t="s">
        <v>97</v>
      </c>
      <c r="K4" s="85" t="s">
        <v>63</v>
      </c>
      <c r="L4" s="85" t="s">
        <v>63</v>
      </c>
      <c r="M4" s="102" t="s">
        <v>300</v>
      </c>
      <c r="N4" s="225">
        <f t="shared" si="0"/>
        <v>81.5625</v>
      </c>
      <c r="O4" s="226">
        <f t="shared" si="1"/>
        <v>81.5625</v>
      </c>
      <c r="P4" s="88" t="s">
        <v>65</v>
      </c>
      <c r="Q4" s="147">
        <v>6.25E-2</v>
      </c>
      <c r="R4" s="143" t="s">
        <v>237</v>
      </c>
      <c r="S4" s="96" t="s">
        <v>143</v>
      </c>
      <c r="T4" s="84" t="s">
        <v>66</v>
      </c>
      <c r="U4" s="84"/>
      <c r="V4" s="84" t="str">
        <f t="shared" si="2"/>
        <v>309048133LRSCHERER-ECOB1%81.5625ADMINISTRATIVE &amp; GENERAL OVERHEAD</v>
      </c>
    </row>
    <row r="5" spans="1:24" ht="15" customHeight="1" x14ac:dyDescent="0.25">
      <c r="A5" s="85" t="s">
        <v>96</v>
      </c>
      <c r="B5" s="86" t="s">
        <v>151</v>
      </c>
      <c r="C5" s="101" t="s">
        <v>149</v>
      </c>
      <c r="D5" s="85" t="s">
        <v>69</v>
      </c>
      <c r="E5" s="102" t="s">
        <v>298</v>
      </c>
      <c r="F5" s="87">
        <v>1</v>
      </c>
      <c r="G5" s="85" t="s">
        <v>14</v>
      </c>
      <c r="H5" s="104">
        <f>SUMIFS($I$3:$I$87,$E$3:$E$87,$E5,$U$3:$U$87,"MARKUP",$S$3:$S$87,"REMOVAL")*0.01*Q5</f>
        <v>93.993750000000006</v>
      </c>
      <c r="I5" s="89">
        <f>F5*H5</f>
        <v>93.993750000000006</v>
      </c>
      <c r="J5" s="105" t="s">
        <v>97</v>
      </c>
      <c r="K5" s="85" t="s">
        <v>63</v>
      </c>
      <c r="L5" s="85" t="s">
        <v>63</v>
      </c>
      <c r="M5" s="102" t="s">
        <v>301</v>
      </c>
      <c r="N5" s="225">
        <f t="shared" si="0"/>
        <v>93.993750000000006</v>
      </c>
      <c r="O5" s="226">
        <f t="shared" si="1"/>
        <v>93.993750000000006</v>
      </c>
      <c r="P5" s="88" t="s">
        <v>65</v>
      </c>
      <c r="Q5" s="147">
        <v>6.25E-2</v>
      </c>
      <c r="R5" s="143" t="s">
        <v>237</v>
      </c>
      <c r="S5" s="96" t="s">
        <v>143</v>
      </c>
      <c r="T5" s="84" t="s">
        <v>66</v>
      </c>
      <c r="U5" s="84"/>
      <c r="V5" s="84" t="str">
        <f t="shared" si="2"/>
        <v>309048133LRSCHERER-ECOF1%93.99375ADMINISTRATIVE &amp; GENERAL OVERHEAD</v>
      </c>
    </row>
    <row r="6" spans="1:24" ht="15" customHeight="1" x14ac:dyDescent="0.25">
      <c r="A6" s="85" t="s">
        <v>96</v>
      </c>
      <c r="B6" s="86" t="s">
        <v>151</v>
      </c>
      <c r="C6" s="101" t="s">
        <v>149</v>
      </c>
      <c r="D6" s="85" t="s">
        <v>69</v>
      </c>
      <c r="E6" s="102" t="s">
        <v>299</v>
      </c>
      <c r="F6" s="87">
        <v>1</v>
      </c>
      <c r="G6" s="85" t="s">
        <v>14</v>
      </c>
      <c r="H6" s="104">
        <f>SUMIFS($I$3:$I$87,$E$3:$E$87,$E6,$U$3:$U$87,"MARKUP",$S$3:$S$87,"REMOVAL")*0.01*Q6</f>
        <v>111.71875</v>
      </c>
      <c r="I6" s="89">
        <f>F6*H6</f>
        <v>111.71875</v>
      </c>
      <c r="J6" s="105" t="s">
        <v>97</v>
      </c>
      <c r="K6" s="85" t="s">
        <v>63</v>
      </c>
      <c r="L6" s="85" t="s">
        <v>63</v>
      </c>
      <c r="M6" s="102" t="s">
        <v>302</v>
      </c>
      <c r="N6" s="225">
        <f t="shared" si="0"/>
        <v>111.71875</v>
      </c>
      <c r="O6" s="226">
        <f t="shared" si="1"/>
        <v>111.71875</v>
      </c>
      <c r="P6" s="88" t="s">
        <v>65</v>
      </c>
      <c r="Q6" s="147">
        <v>6.25E-2</v>
      </c>
      <c r="R6" s="143" t="s">
        <v>237</v>
      </c>
      <c r="S6" s="96" t="s">
        <v>143</v>
      </c>
      <c r="T6" s="84" t="s">
        <v>66</v>
      </c>
      <c r="U6" s="84"/>
      <c r="V6" s="84" t="str">
        <f t="shared" si="2"/>
        <v>309048133LRSCHERER-ECOS1%111.71875ADMINISTRATIVE &amp; GENERAL OVERHEAD</v>
      </c>
    </row>
    <row r="7" spans="1:24" ht="15" customHeight="1" x14ac:dyDescent="0.25">
      <c r="A7" s="85" t="s">
        <v>96</v>
      </c>
      <c r="B7" s="86" t="s">
        <v>151</v>
      </c>
      <c r="C7" s="86" t="s">
        <v>71</v>
      </c>
      <c r="D7" s="85" t="s">
        <v>72</v>
      </c>
      <c r="E7" s="85" t="s">
        <v>193</v>
      </c>
      <c r="F7" s="87">
        <v>1</v>
      </c>
      <c r="G7" s="85" t="s">
        <v>14</v>
      </c>
      <c r="H7" s="104">
        <f>SUMIFS($I$3:$I$87,$E$3:$E$87,$E7,$U$3:$U$87,"MARKUP",$S$3:$S$87,"REMOVAL")*0.01*Q7</f>
        <v>1370.7228125000004</v>
      </c>
      <c r="I7" s="89">
        <f>F7*H7</f>
        <v>1370.7228125000004</v>
      </c>
      <c r="J7" s="105" t="s">
        <v>97</v>
      </c>
      <c r="K7" s="85" t="s">
        <v>63</v>
      </c>
      <c r="L7" s="85" t="s">
        <v>63</v>
      </c>
      <c r="M7" s="85" t="str">
        <f>J7</f>
        <v>ADMINISTRATIVE &amp; GENERAL OVERHEAD</v>
      </c>
      <c r="N7" s="225">
        <f t="shared" si="0"/>
        <v>1370.7228125000004</v>
      </c>
      <c r="O7" s="226">
        <f t="shared" si="1"/>
        <v>1370.7228125000004</v>
      </c>
      <c r="P7" s="88" t="s">
        <v>73</v>
      </c>
      <c r="Q7" s="147">
        <v>6.25E-2</v>
      </c>
      <c r="R7" s="143" t="s">
        <v>237</v>
      </c>
      <c r="S7" s="96" t="s">
        <v>143</v>
      </c>
      <c r="T7" s="84" t="s">
        <v>66</v>
      </c>
      <c r="U7" s="84"/>
      <c r="V7" s="84" t="str">
        <f t="shared" si="2"/>
        <v>3090481CCLRSCHERER-NON1%1370.7228125ADMINISTRATIVE &amp; GENERAL OVERHEAD</v>
      </c>
    </row>
    <row r="8" spans="1:24" s="172" customFormat="1" x14ac:dyDescent="0.25">
      <c r="A8" s="85" t="s">
        <v>106</v>
      </c>
      <c r="B8" s="86" t="s">
        <v>152</v>
      </c>
      <c r="C8" s="86" t="s">
        <v>71</v>
      </c>
      <c r="D8" s="85" t="s">
        <v>72</v>
      </c>
      <c r="E8" s="85" t="s">
        <v>193</v>
      </c>
      <c r="F8" s="92">
        <f>'Scherer Data'!$D$51*Q8</f>
        <v>40.625</v>
      </c>
      <c r="G8" s="85" t="s">
        <v>33</v>
      </c>
      <c r="H8" s="170">
        <f>'Scherer Data'!$E$51</f>
        <v>255.1</v>
      </c>
      <c r="I8" s="187">
        <f>'Scherer Data'!$F$51*Q8</f>
        <v>9750</v>
      </c>
      <c r="J8" s="85" t="s">
        <v>107</v>
      </c>
      <c r="K8" s="85" t="s">
        <v>63</v>
      </c>
      <c r="L8" s="85" t="s">
        <v>63</v>
      </c>
      <c r="M8" s="85" t="str">
        <f>J8</f>
        <v>ANCILLARY BUILDINGS - Demo</v>
      </c>
      <c r="N8" s="225">
        <f t="shared" si="0"/>
        <v>255.1</v>
      </c>
      <c r="O8" s="226">
        <f t="shared" si="1"/>
        <v>9750</v>
      </c>
      <c r="P8" s="88" t="s">
        <v>73</v>
      </c>
      <c r="Q8" s="147">
        <v>6.25E-2</v>
      </c>
      <c r="R8" s="143" t="s">
        <v>237</v>
      </c>
      <c r="S8" s="96" t="s">
        <v>143</v>
      </c>
      <c r="T8" s="84" t="s">
        <v>82</v>
      </c>
      <c r="U8" s="84" t="s">
        <v>99</v>
      </c>
      <c r="V8" s="84" t="str">
        <f t="shared" si="2"/>
        <v>311UNDCCLRSCHERER-NON40.625nt255.1ANCILLARY BUILDINGS - Demo</v>
      </c>
      <c r="X8" s="84"/>
    </row>
    <row r="9" spans="1:24" s="177" customFormat="1" x14ac:dyDescent="0.25">
      <c r="A9" s="85" t="s">
        <v>106</v>
      </c>
      <c r="B9" s="86" t="s">
        <v>152</v>
      </c>
      <c r="C9" s="86" t="s">
        <v>71</v>
      </c>
      <c r="D9" s="85" t="s">
        <v>108</v>
      </c>
      <c r="E9" s="85" t="s">
        <v>193</v>
      </c>
      <c r="F9" s="92">
        <f>'Scherer Data'!$D$52*Q9</f>
        <v>40.625</v>
      </c>
      <c r="G9" s="85" t="s">
        <v>33</v>
      </c>
      <c r="H9" s="170">
        <f>'Scherer Data'!$E$52</f>
        <v>-108.3695731319762</v>
      </c>
      <c r="I9" s="187">
        <f>'Scherer Data'!$F$52*Q9</f>
        <v>-4402.5139084865332</v>
      </c>
      <c r="J9" s="85" t="s">
        <v>109</v>
      </c>
      <c r="K9" s="85" t="s">
        <v>110</v>
      </c>
      <c r="L9" s="85" t="s">
        <v>63</v>
      </c>
      <c r="M9" s="85" t="s">
        <v>296</v>
      </c>
      <c r="N9" s="225">
        <f t="shared" si="0"/>
        <v>-108.3695731319762</v>
      </c>
      <c r="O9" s="226">
        <f t="shared" si="1"/>
        <v>-4402.5139084865332</v>
      </c>
      <c r="P9" s="88" t="s">
        <v>73</v>
      </c>
      <c r="Q9" s="147">
        <v>6.25E-2</v>
      </c>
      <c r="R9" s="143" t="s">
        <v>237</v>
      </c>
      <c r="S9" s="96" t="s">
        <v>145</v>
      </c>
      <c r="T9" s="84" t="s">
        <v>82</v>
      </c>
      <c r="U9" s="84" t="s">
        <v>99</v>
      </c>
      <c r="V9" s="84" t="str">
        <f t="shared" si="2"/>
        <v>311UNDCCMSSCHERER-NON40.625nt-108.369573131976ANCILLARY BUILDINGS - FE SALES</v>
      </c>
      <c r="X9" s="84"/>
    </row>
    <row r="10" spans="1:24" s="177" customFormat="1" x14ac:dyDescent="0.25">
      <c r="A10" s="85" t="s">
        <v>115</v>
      </c>
      <c r="B10" s="86" t="s">
        <v>158</v>
      </c>
      <c r="C10" s="101" t="s">
        <v>149</v>
      </c>
      <c r="D10" s="85" t="s">
        <v>69</v>
      </c>
      <c r="E10" s="102" t="s">
        <v>297</v>
      </c>
      <c r="F10" s="92">
        <f>'Scherer Data'!$D$47/4*Q10</f>
        <v>543.75</v>
      </c>
      <c r="G10" s="85" t="s">
        <v>33</v>
      </c>
      <c r="H10" s="170">
        <f>'Scherer Data'!$E$47</f>
        <v>255.1</v>
      </c>
      <c r="I10" s="187">
        <f>'Scherer Data'!$F$47/4*Q10</f>
        <v>130500</v>
      </c>
      <c r="J10" s="85" t="s">
        <v>197</v>
      </c>
      <c r="K10" s="85" t="s">
        <v>63</v>
      </c>
      <c r="L10" s="85" t="s">
        <v>63</v>
      </c>
      <c r="M10" s="102" t="s">
        <v>300</v>
      </c>
      <c r="N10" s="225">
        <f t="shared" si="0"/>
        <v>255.1</v>
      </c>
      <c r="O10" s="226">
        <f t="shared" si="1"/>
        <v>130500</v>
      </c>
      <c r="P10" s="88" t="s">
        <v>65</v>
      </c>
      <c r="Q10" s="147">
        <v>0.25</v>
      </c>
      <c r="R10" s="143" t="s">
        <v>237</v>
      </c>
      <c r="S10" s="96" t="s">
        <v>143</v>
      </c>
      <c r="T10" s="84" t="s">
        <v>82</v>
      </c>
      <c r="U10" s="84" t="s">
        <v>99</v>
      </c>
      <c r="V10" s="84" t="str">
        <f t="shared" si="2"/>
        <v>312UND33LRSCHERER-ECOB543.75nt255.1Baghouses - DEMO</v>
      </c>
      <c r="X10" s="84"/>
    </row>
    <row r="11" spans="1:24" s="172" customFormat="1" x14ac:dyDescent="0.25">
      <c r="A11" s="85" t="s">
        <v>115</v>
      </c>
      <c r="B11" s="86" t="s">
        <v>158</v>
      </c>
      <c r="C11" s="101" t="s">
        <v>149</v>
      </c>
      <c r="D11" s="85" t="s">
        <v>133</v>
      </c>
      <c r="E11" s="102" t="s">
        <v>297</v>
      </c>
      <c r="F11" s="92">
        <f>'Scherer Data'!$D$48/4*Q11</f>
        <v>543.75</v>
      </c>
      <c r="G11" s="85" t="s">
        <v>33</v>
      </c>
      <c r="H11" s="170">
        <f>'Scherer Data'!$E$48</f>
        <v>-108.3695731319762</v>
      </c>
      <c r="I11" s="187">
        <f>'Scherer Data'!$F$48/4*Q11</f>
        <v>-58925.955390512056</v>
      </c>
      <c r="J11" s="85" t="s">
        <v>198</v>
      </c>
      <c r="K11" s="85" t="s">
        <v>110</v>
      </c>
      <c r="L11" s="85" t="s">
        <v>63</v>
      </c>
      <c r="M11" s="102" t="s">
        <v>300</v>
      </c>
      <c r="N11" s="225">
        <f t="shared" si="0"/>
        <v>-108.3695731319762</v>
      </c>
      <c r="O11" s="226">
        <f t="shared" si="1"/>
        <v>-58925.955390512056</v>
      </c>
      <c r="P11" s="88" t="s">
        <v>65</v>
      </c>
      <c r="Q11" s="147">
        <v>0.25</v>
      </c>
      <c r="R11" s="143" t="s">
        <v>237</v>
      </c>
      <c r="S11" s="96" t="s">
        <v>145</v>
      </c>
      <c r="T11" s="84" t="s">
        <v>82</v>
      </c>
      <c r="U11" s="84" t="s">
        <v>99</v>
      </c>
      <c r="V11" s="84" t="str">
        <f t="shared" si="2"/>
        <v>312UND33MSSCHERER-ECOB543.75nt-108.369573131976Baghouses - FE Sales</v>
      </c>
      <c r="X11" s="84"/>
    </row>
    <row r="12" spans="1:24" ht="15" customHeight="1" x14ac:dyDescent="0.25">
      <c r="A12" s="85" t="s">
        <v>62</v>
      </c>
      <c r="B12" s="86" t="s">
        <v>154</v>
      </c>
      <c r="C12" s="86" t="s">
        <v>71</v>
      </c>
      <c r="D12" s="85" t="s">
        <v>72</v>
      </c>
      <c r="E12" s="102" t="s">
        <v>255</v>
      </c>
      <c r="F12" s="87">
        <v>0</v>
      </c>
      <c r="G12" s="85" t="s">
        <v>63</v>
      </c>
      <c r="H12" s="228"/>
      <c r="I12" s="89">
        <v>0</v>
      </c>
      <c r="J12" s="85" t="s">
        <v>64</v>
      </c>
      <c r="K12" s="85" t="s">
        <v>63</v>
      </c>
      <c r="L12" s="85" t="s">
        <v>63</v>
      </c>
      <c r="M12" s="85" t="str">
        <f>J12</f>
        <v>CONTINGENCY</v>
      </c>
      <c r="N12" s="225">
        <f t="shared" si="0"/>
        <v>0</v>
      </c>
      <c r="O12" s="226">
        <f t="shared" si="1"/>
        <v>0</v>
      </c>
      <c r="P12" s="143" t="s">
        <v>254</v>
      </c>
      <c r="Q12" s="147">
        <v>6.25E-2</v>
      </c>
      <c r="R12" s="143" t="s">
        <v>237</v>
      </c>
      <c r="S12" s="96" t="s">
        <v>143</v>
      </c>
      <c r="T12" s="84" t="s">
        <v>66</v>
      </c>
      <c r="U12" s="107"/>
      <c r="V12" s="84" t="str">
        <f t="shared" si="2"/>
        <v>3040000CCLRSCHERER-ASH0CONTINGENCY</v>
      </c>
      <c r="W12" s="172"/>
    </row>
    <row r="13" spans="1:24" ht="15" customHeight="1" x14ac:dyDescent="0.25">
      <c r="A13" s="85" t="s">
        <v>62</v>
      </c>
      <c r="B13" s="86" t="s">
        <v>154</v>
      </c>
      <c r="C13" s="101" t="s">
        <v>149</v>
      </c>
      <c r="D13" s="85" t="s">
        <v>69</v>
      </c>
      <c r="E13" s="102" t="s">
        <v>194</v>
      </c>
      <c r="F13" s="87">
        <v>0</v>
      </c>
      <c r="G13" s="85" t="s">
        <v>63</v>
      </c>
      <c r="H13" s="228"/>
      <c r="I13" s="89">
        <v>0</v>
      </c>
      <c r="J13" s="85" t="s">
        <v>64</v>
      </c>
      <c r="K13" s="85" t="s">
        <v>63</v>
      </c>
      <c r="L13" s="85" t="s">
        <v>63</v>
      </c>
      <c r="M13" s="85" t="str">
        <f>J13</f>
        <v>CONTINGENCY</v>
      </c>
      <c r="N13" s="225">
        <f t="shared" si="0"/>
        <v>0</v>
      </c>
      <c r="O13" s="226">
        <f t="shared" si="1"/>
        <v>0</v>
      </c>
      <c r="P13" s="88" t="s">
        <v>65</v>
      </c>
      <c r="Q13" s="147">
        <v>0.25</v>
      </c>
      <c r="R13" s="143" t="s">
        <v>237</v>
      </c>
      <c r="S13" s="96" t="s">
        <v>143</v>
      </c>
      <c r="T13" s="84" t="s">
        <v>66</v>
      </c>
      <c r="U13" s="84"/>
      <c r="V13" s="84" t="str">
        <f t="shared" si="2"/>
        <v>304000033LRSCHERER-ECO0CONTINGENCY</v>
      </c>
      <c r="W13" s="172"/>
    </row>
    <row r="14" spans="1:24" ht="15" customHeight="1" x14ac:dyDescent="0.25">
      <c r="A14" s="85" t="s">
        <v>62</v>
      </c>
      <c r="B14" s="86" t="s">
        <v>154</v>
      </c>
      <c r="C14" s="86" t="s">
        <v>71</v>
      </c>
      <c r="D14" s="85" t="s">
        <v>72</v>
      </c>
      <c r="E14" s="102" t="s">
        <v>194</v>
      </c>
      <c r="F14" s="87">
        <v>0</v>
      </c>
      <c r="G14" s="85" t="s">
        <v>63</v>
      </c>
      <c r="H14" s="228"/>
      <c r="I14" s="89">
        <v>0</v>
      </c>
      <c r="J14" s="85" t="s">
        <v>64</v>
      </c>
      <c r="K14" s="85" t="s">
        <v>63</v>
      </c>
      <c r="L14" s="85" t="s">
        <v>63</v>
      </c>
      <c r="M14" s="85" t="str">
        <f>J14</f>
        <v>CONTINGENCY</v>
      </c>
      <c r="N14" s="225">
        <f t="shared" si="0"/>
        <v>0</v>
      </c>
      <c r="O14" s="226">
        <f t="shared" si="1"/>
        <v>0</v>
      </c>
      <c r="P14" s="88" t="s">
        <v>65</v>
      </c>
      <c r="Q14" s="147">
        <v>6.25E-2</v>
      </c>
      <c r="R14" s="143" t="s">
        <v>237</v>
      </c>
      <c r="S14" s="96" t="s">
        <v>143</v>
      </c>
      <c r="T14" s="84" t="s">
        <v>66</v>
      </c>
      <c r="U14" s="84"/>
      <c r="V14" s="84" t="str">
        <f t="shared" si="2"/>
        <v>3040000CCLRSCHERER-ECO0CONTINGENCY</v>
      </c>
      <c r="W14" s="172"/>
    </row>
    <row r="15" spans="1:24" ht="15" customHeight="1" x14ac:dyDescent="0.25">
      <c r="A15" s="85" t="s">
        <v>62</v>
      </c>
      <c r="B15" s="86" t="s">
        <v>154</v>
      </c>
      <c r="C15" s="101" t="s">
        <v>149</v>
      </c>
      <c r="D15" s="85" t="s">
        <v>69</v>
      </c>
      <c r="E15" s="102" t="s">
        <v>297</v>
      </c>
      <c r="F15" s="87">
        <v>0</v>
      </c>
      <c r="G15" s="85" t="s">
        <v>63</v>
      </c>
      <c r="H15" s="228"/>
      <c r="I15" s="89">
        <v>0</v>
      </c>
      <c r="J15" s="85" t="s">
        <v>64</v>
      </c>
      <c r="K15" s="85" t="s">
        <v>63</v>
      </c>
      <c r="L15" s="85" t="s">
        <v>63</v>
      </c>
      <c r="M15" s="102" t="s">
        <v>300</v>
      </c>
      <c r="N15" s="225">
        <f t="shared" si="0"/>
        <v>0</v>
      </c>
      <c r="O15" s="226">
        <f t="shared" si="1"/>
        <v>0</v>
      </c>
      <c r="P15" s="88" t="s">
        <v>65</v>
      </c>
      <c r="Q15" s="147">
        <v>0.25</v>
      </c>
      <c r="R15" s="143" t="s">
        <v>237</v>
      </c>
      <c r="S15" s="96" t="s">
        <v>143</v>
      </c>
      <c r="T15" s="84" t="s">
        <v>66</v>
      </c>
      <c r="U15" s="84"/>
      <c r="V15" s="84" t="str">
        <f t="shared" si="2"/>
        <v>304000033LRSCHERER-ECOB0CONTINGENCY</v>
      </c>
    </row>
    <row r="16" spans="1:24" s="77" customFormat="1" ht="15" customHeight="1" x14ac:dyDescent="0.25">
      <c r="A16" s="85" t="s">
        <v>62</v>
      </c>
      <c r="B16" s="86" t="s">
        <v>154</v>
      </c>
      <c r="C16" s="101" t="s">
        <v>149</v>
      </c>
      <c r="D16" s="85" t="s">
        <v>69</v>
      </c>
      <c r="E16" s="102" t="s">
        <v>298</v>
      </c>
      <c r="F16" s="87">
        <v>0</v>
      </c>
      <c r="G16" s="85" t="s">
        <v>63</v>
      </c>
      <c r="H16" s="227"/>
      <c r="I16" s="89">
        <v>0</v>
      </c>
      <c r="J16" s="85" t="s">
        <v>64</v>
      </c>
      <c r="K16" s="85" t="s">
        <v>63</v>
      </c>
      <c r="L16" s="85" t="s">
        <v>63</v>
      </c>
      <c r="M16" s="102" t="s">
        <v>301</v>
      </c>
      <c r="N16" s="225">
        <f t="shared" si="0"/>
        <v>0</v>
      </c>
      <c r="O16" s="226">
        <f t="shared" si="1"/>
        <v>0</v>
      </c>
      <c r="P16" s="88" t="s">
        <v>65</v>
      </c>
      <c r="Q16" s="147">
        <v>0.25</v>
      </c>
      <c r="R16" s="143" t="s">
        <v>237</v>
      </c>
      <c r="S16" s="96" t="s">
        <v>143</v>
      </c>
      <c r="T16" s="84" t="s">
        <v>66</v>
      </c>
      <c r="U16" s="84"/>
      <c r="V16" s="84" t="str">
        <f t="shared" si="2"/>
        <v>304000033LRSCHERER-ECOF0CONTINGENCY</v>
      </c>
    </row>
    <row r="17" spans="1:22" ht="15" customHeight="1" x14ac:dyDescent="0.25">
      <c r="A17" s="85" t="s">
        <v>62</v>
      </c>
      <c r="B17" s="86" t="s">
        <v>154</v>
      </c>
      <c r="C17" s="101" t="s">
        <v>149</v>
      </c>
      <c r="D17" s="85" t="s">
        <v>69</v>
      </c>
      <c r="E17" s="102" t="s">
        <v>298</v>
      </c>
      <c r="F17" s="87">
        <v>0</v>
      </c>
      <c r="G17" s="85" t="s">
        <v>63</v>
      </c>
      <c r="H17" s="228"/>
      <c r="I17" s="89">
        <v>0</v>
      </c>
      <c r="J17" s="85" t="s">
        <v>64</v>
      </c>
      <c r="K17" s="85" t="s">
        <v>63</v>
      </c>
      <c r="L17" s="85" t="s">
        <v>63</v>
      </c>
      <c r="M17" s="102" t="s">
        <v>301</v>
      </c>
      <c r="N17" s="225">
        <f t="shared" si="0"/>
        <v>0</v>
      </c>
      <c r="O17" s="226">
        <f t="shared" si="1"/>
        <v>0</v>
      </c>
      <c r="P17" s="88" t="s">
        <v>65</v>
      </c>
      <c r="Q17" s="147">
        <v>6.25E-2</v>
      </c>
      <c r="R17" s="143" t="s">
        <v>237</v>
      </c>
      <c r="S17" s="96" t="s">
        <v>143</v>
      </c>
      <c r="T17" s="84" t="s">
        <v>66</v>
      </c>
      <c r="U17" s="84"/>
      <c r="V17" s="84" t="str">
        <f t="shared" si="2"/>
        <v>304000033LRSCHERER-ECOF0CONTINGENCY</v>
      </c>
    </row>
    <row r="18" spans="1:22" ht="15" customHeight="1" x14ac:dyDescent="0.25">
      <c r="A18" s="85" t="s">
        <v>62</v>
      </c>
      <c r="B18" s="86" t="s">
        <v>154</v>
      </c>
      <c r="C18" s="101" t="s">
        <v>149</v>
      </c>
      <c r="D18" s="85" t="s">
        <v>69</v>
      </c>
      <c r="E18" s="102" t="s">
        <v>299</v>
      </c>
      <c r="F18" s="87">
        <v>0</v>
      </c>
      <c r="G18" s="85" t="s">
        <v>63</v>
      </c>
      <c r="H18" s="228"/>
      <c r="I18" s="89">
        <v>0</v>
      </c>
      <c r="J18" s="85" t="s">
        <v>64</v>
      </c>
      <c r="K18" s="85" t="s">
        <v>63</v>
      </c>
      <c r="L18" s="85" t="s">
        <v>63</v>
      </c>
      <c r="M18" s="102" t="s">
        <v>302</v>
      </c>
      <c r="N18" s="225">
        <f t="shared" si="0"/>
        <v>0</v>
      </c>
      <c r="O18" s="226">
        <f t="shared" si="1"/>
        <v>0</v>
      </c>
      <c r="P18" s="88" t="s">
        <v>65</v>
      </c>
      <c r="Q18" s="147">
        <v>0.25</v>
      </c>
      <c r="R18" s="143" t="s">
        <v>237</v>
      </c>
      <c r="S18" s="96" t="s">
        <v>143</v>
      </c>
      <c r="T18" s="84" t="s">
        <v>66</v>
      </c>
      <c r="U18" s="84"/>
      <c r="V18" s="84" t="str">
        <f t="shared" si="2"/>
        <v>304000033LRSCHERER-ECOS0CONTINGENCY</v>
      </c>
    </row>
    <row r="19" spans="1:22" ht="15" customHeight="1" x14ac:dyDescent="0.25">
      <c r="A19" s="85" t="s">
        <v>62</v>
      </c>
      <c r="B19" s="86" t="s">
        <v>154</v>
      </c>
      <c r="C19" s="101" t="s">
        <v>149</v>
      </c>
      <c r="D19" s="85" t="s">
        <v>69</v>
      </c>
      <c r="E19" s="102" t="s">
        <v>299</v>
      </c>
      <c r="F19" s="87">
        <v>0</v>
      </c>
      <c r="G19" s="85" t="s">
        <v>63</v>
      </c>
      <c r="H19" s="228"/>
      <c r="I19" s="89">
        <v>0</v>
      </c>
      <c r="J19" s="85" t="s">
        <v>64</v>
      </c>
      <c r="K19" s="85" t="s">
        <v>63</v>
      </c>
      <c r="L19" s="85" t="s">
        <v>63</v>
      </c>
      <c r="M19" s="102" t="s">
        <v>302</v>
      </c>
      <c r="N19" s="225">
        <f t="shared" si="0"/>
        <v>0</v>
      </c>
      <c r="O19" s="226">
        <f t="shared" si="1"/>
        <v>0</v>
      </c>
      <c r="P19" s="88" t="s">
        <v>65</v>
      </c>
      <c r="Q19" s="147">
        <v>6.25E-2</v>
      </c>
      <c r="R19" s="143" t="s">
        <v>237</v>
      </c>
      <c r="S19" s="96" t="s">
        <v>143</v>
      </c>
      <c r="T19" s="84" t="s">
        <v>66</v>
      </c>
      <c r="U19" s="84"/>
      <c r="V19" s="84" t="str">
        <f t="shared" si="2"/>
        <v>304000033LRSCHERER-ECOS0CONTINGENCY</v>
      </c>
    </row>
    <row r="20" spans="1:22" ht="15" customHeight="1" x14ac:dyDescent="0.25">
      <c r="A20" s="85" t="s">
        <v>62</v>
      </c>
      <c r="B20" s="86" t="s">
        <v>154</v>
      </c>
      <c r="C20" s="101" t="s">
        <v>149</v>
      </c>
      <c r="D20" s="85" t="s">
        <v>69</v>
      </c>
      <c r="E20" s="85" t="s">
        <v>193</v>
      </c>
      <c r="F20" s="87">
        <v>0</v>
      </c>
      <c r="G20" s="85" t="s">
        <v>63</v>
      </c>
      <c r="H20" s="228"/>
      <c r="I20" s="89">
        <v>0</v>
      </c>
      <c r="J20" s="85" t="s">
        <v>64</v>
      </c>
      <c r="K20" s="85" t="s">
        <v>63</v>
      </c>
      <c r="L20" s="85" t="s">
        <v>63</v>
      </c>
      <c r="M20" s="85" t="str">
        <f t="shared" ref="M20:M29" si="3">J20</f>
        <v>CONTINGENCY</v>
      </c>
      <c r="N20" s="225">
        <f t="shared" si="0"/>
        <v>0</v>
      </c>
      <c r="O20" s="226">
        <f t="shared" si="1"/>
        <v>0</v>
      </c>
      <c r="P20" s="88" t="s">
        <v>73</v>
      </c>
      <c r="Q20" s="147">
        <v>0.25</v>
      </c>
      <c r="R20" s="143" t="s">
        <v>237</v>
      </c>
      <c r="S20" s="96" t="s">
        <v>143</v>
      </c>
      <c r="T20" s="84" t="s">
        <v>66</v>
      </c>
      <c r="U20" s="84"/>
      <c r="V20" s="84" t="str">
        <f t="shared" si="2"/>
        <v>304000033LRSCHERER-NON0CONTINGENCY</v>
      </c>
    </row>
    <row r="21" spans="1:22" ht="15" customHeight="1" x14ac:dyDescent="0.25">
      <c r="A21" s="85" t="s">
        <v>62</v>
      </c>
      <c r="B21" s="86" t="s">
        <v>154</v>
      </c>
      <c r="C21" s="86" t="s">
        <v>71</v>
      </c>
      <c r="D21" s="85" t="s">
        <v>72</v>
      </c>
      <c r="E21" s="85" t="s">
        <v>193</v>
      </c>
      <c r="F21" s="87">
        <v>0</v>
      </c>
      <c r="G21" s="85" t="s">
        <v>63</v>
      </c>
      <c r="H21" s="228"/>
      <c r="I21" s="89">
        <v>0</v>
      </c>
      <c r="J21" s="85" t="s">
        <v>64</v>
      </c>
      <c r="K21" s="85" t="s">
        <v>63</v>
      </c>
      <c r="L21" s="85" t="s">
        <v>63</v>
      </c>
      <c r="M21" s="85" t="str">
        <f t="shared" si="3"/>
        <v>CONTINGENCY</v>
      </c>
      <c r="N21" s="225">
        <f t="shared" si="0"/>
        <v>0</v>
      </c>
      <c r="O21" s="226">
        <f t="shared" si="1"/>
        <v>0</v>
      </c>
      <c r="P21" s="88" t="s">
        <v>73</v>
      </c>
      <c r="Q21" s="147">
        <v>6.25E-2</v>
      </c>
      <c r="R21" s="143" t="s">
        <v>237</v>
      </c>
      <c r="S21" s="96" t="s">
        <v>143</v>
      </c>
      <c r="T21" s="84" t="s">
        <v>66</v>
      </c>
      <c r="U21" s="84"/>
      <c r="V21" s="84" t="str">
        <f t="shared" si="2"/>
        <v>3040000CCLRSCHERER-NON0CONTINGENCY</v>
      </c>
    </row>
    <row r="22" spans="1:22" s="231" customFormat="1" ht="15" customHeight="1" x14ac:dyDescent="0.25">
      <c r="A22" s="85" t="s">
        <v>79</v>
      </c>
      <c r="B22" s="86" t="s">
        <v>155</v>
      </c>
      <c r="C22" s="86" t="s">
        <v>71</v>
      </c>
      <c r="D22" s="85" t="s">
        <v>72</v>
      </c>
      <c r="E22" s="85" t="s">
        <v>193</v>
      </c>
      <c r="F22" s="149">
        <f>1*Q22</f>
        <v>6.25E-2</v>
      </c>
      <c r="G22" s="85" t="s">
        <v>80</v>
      </c>
      <c r="H22" s="170">
        <f>'Scherer Data'!$E$10</f>
        <v>450000</v>
      </c>
      <c r="I22" s="187">
        <f>'Scherer Data'!$F$10*Q22</f>
        <v>28125</v>
      </c>
      <c r="J22" s="85" t="s">
        <v>81</v>
      </c>
      <c r="K22" s="85" t="s">
        <v>63</v>
      </c>
      <c r="L22" s="85" t="s">
        <v>63</v>
      </c>
      <c r="M22" s="85" t="str">
        <f t="shared" si="3"/>
        <v>CONTRACTOR MOBILIZATION</v>
      </c>
      <c r="N22" s="225">
        <f t="shared" si="0"/>
        <v>450000</v>
      </c>
      <c r="O22" s="226">
        <f t="shared" si="1"/>
        <v>28125</v>
      </c>
      <c r="P22" s="88" t="s">
        <v>73</v>
      </c>
      <c r="Q22" s="147">
        <v>6.25E-2</v>
      </c>
      <c r="R22" s="143" t="s">
        <v>237</v>
      </c>
      <c r="S22" s="96" t="s">
        <v>143</v>
      </c>
      <c r="T22" s="84" t="s">
        <v>82</v>
      </c>
      <c r="U22" s="84"/>
      <c r="V22" s="84" t="str">
        <f t="shared" si="2"/>
        <v>3070201MOCCLRSCHERER-NON0.0625LT450000CONTRACTOR MOBILIZATION</v>
      </c>
    </row>
    <row r="23" spans="1:22" s="231" customFormat="1" ht="15" customHeight="1" x14ac:dyDescent="0.25">
      <c r="A23" s="85" t="s">
        <v>86</v>
      </c>
      <c r="B23" s="86" t="s">
        <v>153</v>
      </c>
      <c r="C23" s="86" t="s">
        <v>71</v>
      </c>
      <c r="D23" s="85" t="s">
        <v>72</v>
      </c>
      <c r="E23" s="85" t="s">
        <v>193</v>
      </c>
      <c r="F23" s="149">
        <f>1*Q23</f>
        <v>6.25E-2</v>
      </c>
      <c r="G23" s="85" t="s">
        <v>21</v>
      </c>
      <c r="H23" s="89">
        <f>'Scherer Data'!$E$5</f>
        <v>50000</v>
      </c>
      <c r="I23" s="187">
        <f>'Scherer Data'!$F$5*Q23</f>
        <v>3125</v>
      </c>
      <c r="J23" s="85" t="s">
        <v>20</v>
      </c>
      <c r="K23" s="85" t="s">
        <v>63</v>
      </c>
      <c r="L23" s="85" t="s">
        <v>63</v>
      </c>
      <c r="M23" s="85" t="str">
        <f t="shared" si="3"/>
        <v>Design bulkhead for intake and discharge tunnel</v>
      </c>
      <c r="N23" s="225">
        <f t="shared" si="0"/>
        <v>50000</v>
      </c>
      <c r="O23" s="226">
        <f t="shared" si="1"/>
        <v>3125</v>
      </c>
      <c r="P23" s="88" t="s">
        <v>73</v>
      </c>
      <c r="Q23" s="147">
        <v>6.25E-2</v>
      </c>
      <c r="R23" s="143" t="s">
        <v>237</v>
      </c>
      <c r="S23" s="96" t="s">
        <v>143</v>
      </c>
      <c r="T23" s="84" t="s">
        <v>82</v>
      </c>
      <c r="U23" s="84"/>
      <c r="V23" s="84" t="str">
        <f t="shared" si="2"/>
        <v>3080241CCLRSCHERER-NON0.0625ls50000Design bulkhead for intake and discharge tunnel</v>
      </c>
    </row>
    <row r="24" spans="1:22" s="231" customFormat="1" ht="15" customHeight="1" x14ac:dyDescent="0.25">
      <c r="A24" s="85" t="s">
        <v>115</v>
      </c>
      <c r="B24" s="86" t="s">
        <v>158</v>
      </c>
      <c r="C24" s="101" t="s">
        <v>149</v>
      </c>
      <c r="D24" s="85" t="s">
        <v>135</v>
      </c>
      <c r="E24" s="85" t="s">
        <v>193</v>
      </c>
      <c r="F24" s="92">
        <f>'Scherer Data'!$D$60/4*Q24</f>
        <v>581.5</v>
      </c>
      <c r="G24" s="85" t="s">
        <v>33</v>
      </c>
      <c r="H24" s="89">
        <f>'Scherer Data'!$E$60</f>
        <v>65</v>
      </c>
      <c r="I24" s="187">
        <f>'Scherer Data'!$F$60/4*Q24</f>
        <v>37797.5</v>
      </c>
      <c r="J24" s="85" t="s">
        <v>50</v>
      </c>
      <c r="K24" s="85" t="s">
        <v>63</v>
      </c>
      <c r="L24" s="85" t="s">
        <v>63</v>
      </c>
      <c r="M24" s="85" t="str">
        <f t="shared" si="3"/>
        <v>Dispose of Refractory in Subtitle D Landfill</v>
      </c>
      <c r="N24" s="225">
        <f t="shared" si="0"/>
        <v>65</v>
      </c>
      <c r="O24" s="226">
        <f t="shared" si="1"/>
        <v>37797.5</v>
      </c>
      <c r="P24" s="88" t="s">
        <v>73</v>
      </c>
      <c r="Q24" s="147">
        <v>0.25</v>
      </c>
      <c r="R24" s="143" t="s">
        <v>237</v>
      </c>
      <c r="S24" s="96" t="s">
        <v>146</v>
      </c>
      <c r="T24" s="84" t="s">
        <v>82</v>
      </c>
      <c r="U24" s="84" t="s">
        <v>99</v>
      </c>
      <c r="V24" s="84" t="str">
        <f t="shared" si="2"/>
        <v>312UND33LDSCHERER-NON581.5nt65Dispose of Refractory in Subtitle D Landfill</v>
      </c>
    </row>
    <row r="25" spans="1:22" s="231" customFormat="1" ht="15" customHeight="1" x14ac:dyDescent="0.25">
      <c r="A25" s="106">
        <v>3080261</v>
      </c>
      <c r="B25" s="86" t="s">
        <v>153</v>
      </c>
      <c r="C25" s="86" t="s">
        <v>71</v>
      </c>
      <c r="D25" s="85" t="s">
        <v>72</v>
      </c>
      <c r="E25" s="85" t="s">
        <v>193</v>
      </c>
      <c r="F25" s="92">
        <f>2000*Q25</f>
        <v>125</v>
      </c>
      <c r="G25" s="85" t="s">
        <v>87</v>
      </c>
      <c r="H25" s="89">
        <v>101.26</v>
      </c>
      <c r="I25" s="89">
        <f>F25*H25</f>
        <v>12657.5</v>
      </c>
      <c r="J25" s="148" t="s">
        <v>90</v>
      </c>
      <c r="K25" s="85" t="s">
        <v>63</v>
      </c>
      <c r="L25" s="85" t="s">
        <v>63</v>
      </c>
      <c r="M25" s="85" t="str">
        <f t="shared" si="3"/>
        <v>GPC ENGINEERING</v>
      </c>
      <c r="N25" s="225">
        <f t="shared" si="0"/>
        <v>101.26</v>
      </c>
      <c r="O25" s="226">
        <f t="shared" si="1"/>
        <v>12657.5</v>
      </c>
      <c r="P25" s="88" t="s">
        <v>73</v>
      </c>
      <c r="Q25" s="147">
        <v>6.25E-2</v>
      </c>
      <c r="R25" s="143" t="s">
        <v>237</v>
      </c>
      <c r="S25" s="96" t="s">
        <v>143</v>
      </c>
      <c r="T25" s="84" t="s">
        <v>66</v>
      </c>
      <c r="U25" s="84"/>
      <c r="V25" s="84" t="str">
        <f t="shared" si="2"/>
        <v>3080261CCLRSCHERER-NON125MH101.26GPC ENGINEERING</v>
      </c>
    </row>
    <row r="26" spans="1:22" s="231" customFormat="1" ht="15" customHeight="1" x14ac:dyDescent="0.25">
      <c r="A26" s="85" t="s">
        <v>98</v>
      </c>
      <c r="B26" s="86" t="s">
        <v>152</v>
      </c>
      <c r="C26" s="86" t="s">
        <v>71</v>
      </c>
      <c r="D26" s="85" t="s">
        <v>72</v>
      </c>
      <c r="E26" s="85" t="s">
        <v>193</v>
      </c>
      <c r="F26" s="92">
        <f>'Scherer Data'!$D$15*Q26</f>
        <v>31250</v>
      </c>
      <c r="G26" s="85" t="s">
        <v>27</v>
      </c>
      <c r="H26" s="89">
        <f>'Scherer Data'!$E$15</f>
        <v>0.35713999999999996</v>
      </c>
      <c r="I26" s="187">
        <f>'Scherer Data'!$F$15*Q26</f>
        <v>10937.5</v>
      </c>
      <c r="J26" s="85" t="s">
        <v>31</v>
      </c>
      <c r="K26" s="85" t="s">
        <v>63</v>
      </c>
      <c r="L26" s="85" t="s">
        <v>63</v>
      </c>
      <c r="M26" s="85" t="str">
        <f t="shared" si="3"/>
        <v>Grade and Seeding</v>
      </c>
      <c r="N26" s="225">
        <f t="shared" si="0"/>
        <v>0.35713999999999996</v>
      </c>
      <c r="O26" s="226">
        <f t="shared" si="1"/>
        <v>10937.5</v>
      </c>
      <c r="P26" s="88" t="s">
        <v>73</v>
      </c>
      <c r="Q26" s="147">
        <v>6.25E-2</v>
      </c>
      <c r="R26" s="143" t="s">
        <v>237</v>
      </c>
      <c r="S26" s="96" t="s">
        <v>143</v>
      </c>
      <c r="T26" s="84" t="s">
        <v>82</v>
      </c>
      <c r="U26" s="84" t="s">
        <v>99</v>
      </c>
      <c r="V26" s="84" t="str">
        <f t="shared" si="2"/>
        <v>3110001LCCCLRSCHERER-NON31250sf0.35714Grade and Seeding</v>
      </c>
    </row>
    <row r="27" spans="1:22" s="231" customFormat="1" ht="15" customHeight="1" x14ac:dyDescent="0.25">
      <c r="A27" s="85" t="s">
        <v>124</v>
      </c>
      <c r="B27" s="86" t="s">
        <v>159</v>
      </c>
      <c r="C27" s="86" t="s">
        <v>71</v>
      </c>
      <c r="D27" s="85" t="s">
        <v>72</v>
      </c>
      <c r="E27" s="85" t="s">
        <v>193</v>
      </c>
      <c r="F27" s="151">
        <f>1*Q27</f>
        <v>6.25E-2</v>
      </c>
      <c r="G27" s="85" t="s">
        <v>21</v>
      </c>
      <c r="H27" s="89">
        <f>'Scherer Data'!$E$13</f>
        <v>650000</v>
      </c>
      <c r="I27" s="187">
        <f>'Scherer Data'!$F$13*Q27</f>
        <v>40625</v>
      </c>
      <c r="J27" s="85" t="s">
        <v>29</v>
      </c>
      <c r="K27" s="85" t="s">
        <v>63</v>
      </c>
      <c r="L27" s="85" t="s">
        <v>63</v>
      </c>
      <c r="M27" s="85" t="str">
        <f t="shared" si="3"/>
        <v>Install Bulkhead in Intake &amp; Discharge Tunnel</v>
      </c>
      <c r="N27" s="225">
        <f t="shared" si="0"/>
        <v>650000</v>
      </c>
      <c r="O27" s="226">
        <f t="shared" si="1"/>
        <v>40625</v>
      </c>
      <c r="P27" s="88" t="s">
        <v>73</v>
      </c>
      <c r="Q27" s="147">
        <v>6.25E-2</v>
      </c>
      <c r="R27" s="143" t="s">
        <v>237</v>
      </c>
      <c r="S27" s="96" t="s">
        <v>143</v>
      </c>
      <c r="T27" s="84" t="s">
        <v>82</v>
      </c>
      <c r="U27" s="84" t="s">
        <v>99</v>
      </c>
      <c r="V27" s="84" t="str">
        <f t="shared" si="2"/>
        <v>314052102CCLRSCHERER-NON0.0625ls650000Install Bulkhead in Intake &amp; Discharge Tunnel</v>
      </c>
    </row>
    <row r="28" spans="1:22" s="231" customFormat="1" ht="15" customHeight="1" x14ac:dyDescent="0.25">
      <c r="A28" s="85" t="s">
        <v>85</v>
      </c>
      <c r="B28" s="86" t="s">
        <v>155</v>
      </c>
      <c r="C28" s="86" t="s">
        <v>71</v>
      </c>
      <c r="D28" s="85" t="s">
        <v>72</v>
      </c>
      <c r="E28" s="85" t="s">
        <v>193</v>
      </c>
      <c r="F28" s="151">
        <f>1*Q28</f>
        <v>6.25E-2</v>
      </c>
      <c r="G28" s="85" t="s">
        <v>21</v>
      </c>
      <c r="H28" s="89">
        <f>'Scherer Data'!$E$14</f>
        <v>200000</v>
      </c>
      <c r="I28" s="187">
        <f>'Scherer Data'!$F$14*Q28</f>
        <v>12500</v>
      </c>
      <c r="J28" s="85" t="s">
        <v>163</v>
      </c>
      <c r="K28" s="85" t="s">
        <v>63</v>
      </c>
      <c r="L28" s="85" t="s">
        <v>63</v>
      </c>
      <c r="M28" s="85" t="str">
        <f t="shared" si="3"/>
        <v>Install Electrical for Decommissioning Work</v>
      </c>
      <c r="N28" s="225">
        <f t="shared" si="0"/>
        <v>200000</v>
      </c>
      <c r="O28" s="226">
        <f t="shared" si="1"/>
        <v>12500</v>
      </c>
      <c r="P28" s="88" t="s">
        <v>73</v>
      </c>
      <c r="Q28" s="147">
        <v>6.25E-2</v>
      </c>
      <c r="R28" s="143" t="s">
        <v>237</v>
      </c>
      <c r="S28" s="96" t="s">
        <v>143</v>
      </c>
      <c r="T28" s="84" t="s">
        <v>82</v>
      </c>
      <c r="U28" s="84"/>
      <c r="V28" s="84" t="str">
        <f t="shared" si="2"/>
        <v>307UNDCCLRSCHERER-NON0.0625ls200000Install Electrical for Decommissioning Work</v>
      </c>
    </row>
    <row r="29" spans="1:22" s="231" customFormat="1" ht="15" customHeight="1" x14ac:dyDescent="0.25">
      <c r="A29" s="85" t="s">
        <v>115</v>
      </c>
      <c r="B29" s="86" t="s">
        <v>158</v>
      </c>
      <c r="C29" s="101" t="s">
        <v>149</v>
      </c>
      <c r="D29" s="85" t="s">
        <v>69</v>
      </c>
      <c r="E29" s="85" t="s">
        <v>193</v>
      </c>
      <c r="F29" s="99">
        <f>'Scherer Data'!$D$26/4*Q29</f>
        <v>0.125</v>
      </c>
      <c r="G29" s="85" t="s">
        <v>42</v>
      </c>
      <c r="H29" s="170">
        <f>'Scherer Data'!$E$26</f>
        <v>550000</v>
      </c>
      <c r="I29" s="187">
        <f>'Scherer Data'!$F$26/4*Q29</f>
        <v>68750</v>
      </c>
      <c r="J29" s="120" t="s">
        <v>176</v>
      </c>
      <c r="K29" s="85" t="s">
        <v>63</v>
      </c>
      <c r="L29" s="85" t="s">
        <v>63</v>
      </c>
      <c r="M29" s="85" t="str">
        <f t="shared" si="3"/>
        <v>Main Power Block - (1) each 1000' Stack (felling)</v>
      </c>
      <c r="N29" s="225">
        <f t="shared" si="0"/>
        <v>550000</v>
      </c>
      <c r="O29" s="226">
        <f t="shared" si="1"/>
        <v>68750</v>
      </c>
      <c r="P29" s="88" t="s">
        <v>73</v>
      </c>
      <c r="Q29" s="147">
        <v>0.25</v>
      </c>
      <c r="R29" s="143" t="s">
        <v>237</v>
      </c>
      <c r="S29" s="96" t="s">
        <v>143</v>
      </c>
      <c r="T29" s="84" t="s">
        <v>82</v>
      </c>
      <c r="U29" s="84" t="s">
        <v>99</v>
      </c>
      <c r="V29" s="84" t="str">
        <f t="shared" si="2"/>
        <v>312UND33LRSCHERER-NON0.125ea550000Main Power Block - (1) each 1000' Stack (felling)</v>
      </c>
    </row>
    <row r="30" spans="1:22" s="231" customFormat="1" ht="15" customHeight="1" x14ac:dyDescent="0.25">
      <c r="A30" s="85" t="s">
        <v>115</v>
      </c>
      <c r="B30" s="86" t="s">
        <v>158</v>
      </c>
      <c r="C30" s="101" t="s">
        <v>149</v>
      </c>
      <c r="D30" s="85" t="s">
        <v>133</v>
      </c>
      <c r="E30" s="85" t="s">
        <v>193</v>
      </c>
      <c r="F30" s="92">
        <f>'Scherer Data'!$D$20/4*Q30</f>
        <v>52335</v>
      </c>
      <c r="G30" s="85" t="s">
        <v>36</v>
      </c>
      <c r="H30" s="89">
        <f>'Scherer Data'!$E$20</f>
        <v>-0.38793301271641789</v>
      </c>
      <c r="I30" s="187">
        <f>'Scherer Data'!$F$20/4*Q30</f>
        <v>-20302.47422051373</v>
      </c>
      <c r="J30" s="85" t="s">
        <v>116</v>
      </c>
      <c r="K30" s="85" t="s">
        <v>117</v>
      </c>
      <c r="L30" s="85" t="s">
        <v>63</v>
      </c>
      <c r="M30" s="85" t="s">
        <v>296</v>
      </c>
      <c r="N30" s="225">
        <f t="shared" si="0"/>
        <v>-0.38793301271641789</v>
      </c>
      <c r="O30" s="226">
        <f t="shared" si="1"/>
        <v>-20302.47422051373</v>
      </c>
      <c r="P30" s="88" t="s">
        <v>73</v>
      </c>
      <c r="Q30" s="147">
        <v>0.25</v>
      </c>
      <c r="R30" s="143" t="s">
        <v>237</v>
      </c>
      <c r="S30" s="96" t="s">
        <v>145</v>
      </c>
      <c r="T30" s="84" t="s">
        <v>82</v>
      </c>
      <c r="U30" s="84" t="s">
        <v>99</v>
      </c>
      <c r="V30" s="84" t="str">
        <f t="shared" si="2"/>
        <v>312UND33MSSCHERER-NON52335lbs-0.387933012716418Main Power Block - AL Sales</v>
      </c>
    </row>
    <row r="31" spans="1:22" s="231" customFormat="1" ht="15" customHeight="1" x14ac:dyDescent="0.25">
      <c r="A31" s="85" t="s">
        <v>125</v>
      </c>
      <c r="B31" s="86" t="s">
        <v>159</v>
      </c>
      <c r="C31" s="101" t="s">
        <v>149</v>
      </c>
      <c r="D31" s="85" t="s">
        <v>133</v>
      </c>
      <c r="E31" s="85" t="s">
        <v>193</v>
      </c>
      <c r="F31" s="92">
        <f>'Scherer Data'!$D$24/4*Q31</f>
        <v>205875</v>
      </c>
      <c r="G31" s="85" t="s">
        <v>36</v>
      </c>
      <c r="H31" s="89">
        <f>'Scherer Data'!$E$24</f>
        <v>-1.5206066633165829</v>
      </c>
      <c r="I31" s="187">
        <f>'Scherer Data'!$F$24/4*Q31</f>
        <v>-313054.89681030152</v>
      </c>
      <c r="J31" s="120" t="s">
        <v>175</v>
      </c>
      <c r="K31" s="85" t="s">
        <v>236</v>
      </c>
      <c r="L31" s="85" t="s">
        <v>63</v>
      </c>
      <c r="M31" s="85" t="s">
        <v>296</v>
      </c>
      <c r="N31" s="225">
        <f t="shared" si="0"/>
        <v>-1.5206066633165829</v>
      </c>
      <c r="O31" s="226">
        <f t="shared" si="1"/>
        <v>-313054.89681030152</v>
      </c>
      <c r="P31" s="88" t="s">
        <v>73</v>
      </c>
      <c r="Q31" s="147">
        <v>0.25</v>
      </c>
      <c r="R31" s="143" t="s">
        <v>237</v>
      </c>
      <c r="S31" s="96" t="s">
        <v>145</v>
      </c>
      <c r="T31" s="84" t="s">
        <v>82</v>
      </c>
      <c r="U31" s="84" t="s">
        <v>99</v>
      </c>
      <c r="V31" s="84" t="str">
        <f t="shared" si="2"/>
        <v>314UND33MSSCHERER-NON205875lbs-1.52060666331658Main Power Block - Condenser Tubes (90-10 CU-NI)</v>
      </c>
    </row>
    <row r="32" spans="1:22" s="231" customFormat="1" ht="15" customHeight="1" x14ac:dyDescent="0.25">
      <c r="A32" s="85" t="s">
        <v>115</v>
      </c>
      <c r="B32" s="86" t="s">
        <v>158</v>
      </c>
      <c r="C32" s="101" t="s">
        <v>149</v>
      </c>
      <c r="D32" s="85" t="s">
        <v>133</v>
      </c>
      <c r="E32" s="85" t="s">
        <v>193</v>
      </c>
      <c r="F32" s="92">
        <f>'Scherer Data'!$D$21/4*0.2*Q32</f>
        <v>98855</v>
      </c>
      <c r="G32" s="85" t="s">
        <v>36</v>
      </c>
      <c r="H32" s="89">
        <f>'Scherer Data'!$E$21</f>
        <v>-0.31414430979039298</v>
      </c>
      <c r="I32" s="187">
        <f>'Scherer Data'!$F$21/4*0.2*Q32</f>
        <v>-31054.7357443293</v>
      </c>
      <c r="J32" s="85" t="s">
        <v>118</v>
      </c>
      <c r="K32" s="85" t="s">
        <v>119</v>
      </c>
      <c r="L32" s="85" t="s">
        <v>63</v>
      </c>
      <c r="M32" s="85" t="s">
        <v>296</v>
      </c>
      <c r="N32" s="225">
        <f t="shared" si="0"/>
        <v>-0.31414430979039298</v>
      </c>
      <c r="O32" s="226">
        <f t="shared" si="1"/>
        <v>-31054.7357443293</v>
      </c>
      <c r="P32" s="88" t="s">
        <v>73</v>
      </c>
      <c r="Q32" s="147">
        <v>0.25</v>
      </c>
      <c r="R32" s="143" t="s">
        <v>237</v>
      </c>
      <c r="S32" s="96" t="s">
        <v>145</v>
      </c>
      <c r="T32" s="84" t="s">
        <v>82</v>
      </c>
      <c r="U32" s="84" t="s">
        <v>99</v>
      </c>
      <c r="V32" s="84" t="str">
        <f t="shared" si="2"/>
        <v>312UND33MSSCHERER-NON98855lbs-0.314144309790393Main Power Block - CU Sales</v>
      </c>
    </row>
    <row r="33" spans="1:22" s="231" customFormat="1" ht="15" customHeight="1" x14ac:dyDescent="0.25">
      <c r="A33" s="85" t="s">
        <v>127</v>
      </c>
      <c r="B33" s="86" t="s">
        <v>160</v>
      </c>
      <c r="C33" s="101" t="s">
        <v>149</v>
      </c>
      <c r="D33" s="85" t="s">
        <v>133</v>
      </c>
      <c r="E33" s="85" t="s">
        <v>193</v>
      </c>
      <c r="F33" s="92">
        <f>'Scherer Data'!$D$21/4*0.8*Q33</f>
        <v>395420</v>
      </c>
      <c r="G33" s="85" t="s">
        <v>36</v>
      </c>
      <c r="H33" s="89">
        <f>'Scherer Data'!$E$21</f>
        <v>-0.31414430979039298</v>
      </c>
      <c r="I33" s="187">
        <f>'Scherer Data'!$F$21/4*0.8*Q33</f>
        <v>-124218.9429773172</v>
      </c>
      <c r="J33" s="85" t="s">
        <v>118</v>
      </c>
      <c r="K33" s="85" t="s">
        <v>119</v>
      </c>
      <c r="L33" s="85" t="s">
        <v>63</v>
      </c>
      <c r="M33" s="85" t="s">
        <v>296</v>
      </c>
      <c r="N33" s="225">
        <f t="shared" si="0"/>
        <v>-0.31414430979039298</v>
      </c>
      <c r="O33" s="226">
        <f t="shared" si="1"/>
        <v>-124218.9429773172</v>
      </c>
      <c r="P33" s="88" t="s">
        <v>73</v>
      </c>
      <c r="Q33" s="147">
        <v>0.25</v>
      </c>
      <c r="R33" s="143" t="s">
        <v>237</v>
      </c>
      <c r="S33" s="96" t="s">
        <v>145</v>
      </c>
      <c r="T33" s="84" t="s">
        <v>82</v>
      </c>
      <c r="U33" s="84" t="s">
        <v>99</v>
      </c>
      <c r="V33" s="84" t="str">
        <f t="shared" si="2"/>
        <v>315UND33MSSCHERER-NON395420lbs-0.314144309790393Main Power Block - CU Sales</v>
      </c>
    </row>
    <row r="34" spans="1:22" s="231" customFormat="1" ht="15" customHeight="1" x14ac:dyDescent="0.25">
      <c r="A34" s="85" t="s">
        <v>106</v>
      </c>
      <c r="B34" s="86" t="s">
        <v>152</v>
      </c>
      <c r="C34" s="101" t="s">
        <v>149</v>
      </c>
      <c r="D34" s="85" t="s">
        <v>69</v>
      </c>
      <c r="E34" s="85" t="s">
        <v>193</v>
      </c>
      <c r="F34" s="92">
        <f>('Scherer Data'!$D$18/4)*0.6*Q34</f>
        <v>3381.5858625000001</v>
      </c>
      <c r="G34" s="85" t="s">
        <v>33</v>
      </c>
      <c r="H34" s="89">
        <f>('Scherer Data'!$E$18)</f>
        <v>255.1</v>
      </c>
      <c r="I34" s="187">
        <f>('Scherer Data'!$F$18/4)*0.6*Q34</f>
        <v>862642.55352375004</v>
      </c>
      <c r="J34" s="85" t="s">
        <v>111</v>
      </c>
      <c r="K34" s="85" t="s">
        <v>63</v>
      </c>
      <c r="L34" s="85" t="s">
        <v>63</v>
      </c>
      <c r="M34" s="85" t="str">
        <f>J34</f>
        <v>Main Power Block - DEMO</v>
      </c>
      <c r="N34" s="225">
        <f t="shared" si="0"/>
        <v>255.1</v>
      </c>
      <c r="O34" s="226">
        <f t="shared" si="1"/>
        <v>862642.55352375004</v>
      </c>
      <c r="P34" s="88" t="s">
        <v>73</v>
      </c>
      <c r="Q34" s="147">
        <v>0.25</v>
      </c>
      <c r="R34" s="143" t="s">
        <v>237</v>
      </c>
      <c r="S34" s="96" t="s">
        <v>143</v>
      </c>
      <c r="T34" s="84" t="s">
        <v>82</v>
      </c>
      <c r="U34" s="84" t="s">
        <v>99</v>
      </c>
      <c r="V34" s="84" t="str">
        <f t="shared" si="2"/>
        <v>311UND33LRSCHERER-NON3381.5858625nt255.1Main Power Block - DEMO</v>
      </c>
    </row>
    <row r="35" spans="1:22" s="231" customFormat="1" ht="15" customHeight="1" x14ac:dyDescent="0.25">
      <c r="A35" s="85" t="s">
        <v>115</v>
      </c>
      <c r="B35" s="86" t="s">
        <v>158</v>
      </c>
      <c r="C35" s="101" t="s">
        <v>149</v>
      </c>
      <c r="D35" s="85" t="s">
        <v>69</v>
      </c>
      <c r="E35" s="85" t="s">
        <v>193</v>
      </c>
      <c r="F35" s="92">
        <f>('Scherer Data'!$D$18/4)*0.2*Q35</f>
        <v>1127.1952875000002</v>
      </c>
      <c r="G35" s="85" t="s">
        <v>33</v>
      </c>
      <c r="H35" s="89">
        <f>('Scherer Data'!$E$18)</f>
        <v>255.1</v>
      </c>
      <c r="I35" s="187">
        <f>('Scherer Data'!$F$18/4)*0.2*Q35</f>
        <v>287547.51784125005</v>
      </c>
      <c r="J35" s="85" t="s">
        <v>111</v>
      </c>
      <c r="K35" s="85" t="s">
        <v>63</v>
      </c>
      <c r="L35" s="85" t="s">
        <v>63</v>
      </c>
      <c r="M35" s="85" t="str">
        <f>J35</f>
        <v>Main Power Block - DEMO</v>
      </c>
      <c r="N35" s="225">
        <f t="shared" ref="N35:N67" si="4">H35</f>
        <v>255.1</v>
      </c>
      <c r="O35" s="226">
        <f t="shared" ref="O35:O67" si="5">I35</f>
        <v>287547.51784125005</v>
      </c>
      <c r="P35" s="88" t="s">
        <v>73</v>
      </c>
      <c r="Q35" s="147">
        <v>0.25</v>
      </c>
      <c r="R35" s="143" t="s">
        <v>237</v>
      </c>
      <c r="S35" s="96" t="s">
        <v>143</v>
      </c>
      <c r="T35" s="84" t="s">
        <v>82</v>
      </c>
      <c r="U35" s="84" t="s">
        <v>99</v>
      </c>
      <c r="V35" s="84" t="str">
        <f t="shared" ref="V35:V67" si="6">A35&amp;C35&amp;D35&amp;E35&amp;F35&amp;G35&amp;H35&amp;J35</f>
        <v>312UND33LRSCHERER-NON1127.1952875nt255.1Main Power Block - DEMO</v>
      </c>
    </row>
    <row r="36" spans="1:22" s="231" customFormat="1" ht="15" customHeight="1" x14ac:dyDescent="0.25">
      <c r="A36" s="85" t="s">
        <v>125</v>
      </c>
      <c r="B36" s="86" t="s">
        <v>159</v>
      </c>
      <c r="C36" s="101" t="s">
        <v>149</v>
      </c>
      <c r="D36" s="85" t="s">
        <v>69</v>
      </c>
      <c r="E36" s="85" t="s">
        <v>193</v>
      </c>
      <c r="F36" s="92">
        <f>('Scherer Data'!$D$18/4)*0.15*Q36</f>
        <v>845.39646562500002</v>
      </c>
      <c r="G36" s="85" t="s">
        <v>33</v>
      </c>
      <c r="H36" s="170">
        <f>('Scherer Data'!$E$18)</f>
        <v>255.1</v>
      </c>
      <c r="I36" s="187">
        <f>('Scherer Data'!$F$18/4)*0.15*Q36</f>
        <v>215660.63838093751</v>
      </c>
      <c r="J36" s="85" t="s">
        <v>111</v>
      </c>
      <c r="K36" s="85" t="s">
        <v>63</v>
      </c>
      <c r="L36" s="85" t="s">
        <v>63</v>
      </c>
      <c r="M36" s="85" t="str">
        <f>J36</f>
        <v>Main Power Block - DEMO</v>
      </c>
      <c r="N36" s="225">
        <f t="shared" si="4"/>
        <v>255.1</v>
      </c>
      <c r="O36" s="226">
        <f t="shared" si="5"/>
        <v>215660.63838093751</v>
      </c>
      <c r="P36" s="88" t="s">
        <v>73</v>
      </c>
      <c r="Q36" s="147">
        <v>0.25</v>
      </c>
      <c r="R36" s="143" t="s">
        <v>237</v>
      </c>
      <c r="S36" s="96" t="s">
        <v>143</v>
      </c>
      <c r="T36" s="84" t="s">
        <v>82</v>
      </c>
      <c r="U36" s="84" t="s">
        <v>99</v>
      </c>
      <c r="V36" s="84" t="str">
        <f t="shared" si="6"/>
        <v>314UND33LRSCHERER-NON845.396465625nt255.1Main Power Block - DEMO</v>
      </c>
    </row>
    <row r="37" spans="1:22" s="231" customFormat="1" ht="15" customHeight="1" x14ac:dyDescent="0.25">
      <c r="A37" s="85" t="s">
        <v>127</v>
      </c>
      <c r="B37" s="86" t="s">
        <v>160</v>
      </c>
      <c r="C37" s="101" t="s">
        <v>149</v>
      </c>
      <c r="D37" s="85" t="s">
        <v>69</v>
      </c>
      <c r="E37" s="85" t="s">
        <v>193</v>
      </c>
      <c r="F37" s="92">
        <f>('Scherer Data'!$D$18/4)*0.05*Q37</f>
        <v>281.79882187500004</v>
      </c>
      <c r="G37" s="85" t="s">
        <v>33</v>
      </c>
      <c r="H37" s="89">
        <f>('Scherer Data'!$E$18)</f>
        <v>255.1</v>
      </c>
      <c r="I37" s="187">
        <f>('Scherer Data'!$F$18/4)*0.05*Q37</f>
        <v>71886.879460312513</v>
      </c>
      <c r="J37" s="85" t="s">
        <v>111</v>
      </c>
      <c r="K37" s="85" t="s">
        <v>63</v>
      </c>
      <c r="L37" s="85" t="s">
        <v>63</v>
      </c>
      <c r="M37" s="85" t="str">
        <f>J37</f>
        <v>Main Power Block - DEMO</v>
      </c>
      <c r="N37" s="225">
        <f t="shared" si="4"/>
        <v>255.1</v>
      </c>
      <c r="O37" s="226">
        <f t="shared" si="5"/>
        <v>71886.879460312513</v>
      </c>
      <c r="P37" s="88" t="s">
        <v>73</v>
      </c>
      <c r="Q37" s="147">
        <v>0.25</v>
      </c>
      <c r="R37" s="143" t="s">
        <v>237</v>
      </c>
      <c r="S37" s="96" t="s">
        <v>143</v>
      </c>
      <c r="T37" s="84" t="s">
        <v>82</v>
      </c>
      <c r="U37" s="84" t="s">
        <v>99</v>
      </c>
      <c r="V37" s="84" t="str">
        <f t="shared" si="6"/>
        <v>315UND33LRSCHERER-NON281.798821875nt255.1Main Power Block - DEMO</v>
      </c>
    </row>
    <row r="38" spans="1:22" s="231" customFormat="1" ht="15" customHeight="1" x14ac:dyDescent="0.25">
      <c r="A38" s="100" t="s">
        <v>125</v>
      </c>
      <c r="B38" s="86" t="s">
        <v>159</v>
      </c>
      <c r="C38" s="101" t="s">
        <v>149</v>
      </c>
      <c r="D38" s="102" t="s">
        <v>69</v>
      </c>
      <c r="E38" s="85" t="s">
        <v>193</v>
      </c>
      <c r="F38" s="102">
        <f>'Scherer Data'!$D$27/4*Q38</f>
        <v>0.25</v>
      </c>
      <c r="G38" s="102" t="s">
        <v>42</v>
      </c>
      <c r="H38" s="229">
        <f>'Scherer Data'!$E$27</f>
        <v>1650000</v>
      </c>
      <c r="I38" s="230">
        <f>'Scherer Data'!$F$27/4*Q38</f>
        <v>412500</v>
      </c>
      <c r="J38" s="102" t="s">
        <v>177</v>
      </c>
      <c r="K38" s="102"/>
      <c r="L38" s="102"/>
      <c r="M38" s="85" t="str">
        <f>J38</f>
        <v>Main Power Block - Demo (2) Hyperbolic Cooling Towers</v>
      </c>
      <c r="N38" s="225">
        <f t="shared" si="4"/>
        <v>1650000</v>
      </c>
      <c r="O38" s="226">
        <f t="shared" si="5"/>
        <v>412500</v>
      </c>
      <c r="P38" s="232" t="s">
        <v>73</v>
      </c>
      <c r="Q38" s="147">
        <v>0.25</v>
      </c>
      <c r="R38" s="143" t="s">
        <v>237</v>
      </c>
      <c r="S38" s="144" t="s">
        <v>143</v>
      </c>
      <c r="T38" s="232" t="s">
        <v>82</v>
      </c>
      <c r="U38" s="232" t="s">
        <v>99</v>
      </c>
      <c r="V38" s="84" t="str">
        <f t="shared" si="6"/>
        <v>314UND33LRSCHERER-NON0.25ea1650000Main Power Block - Demo (2) Hyperbolic Cooling Towers</v>
      </c>
    </row>
    <row r="39" spans="1:22" s="231" customFormat="1" ht="15" customHeight="1" x14ac:dyDescent="0.25">
      <c r="A39" s="85" t="s">
        <v>106</v>
      </c>
      <c r="B39" s="86" t="s">
        <v>152</v>
      </c>
      <c r="C39" s="101" t="s">
        <v>149</v>
      </c>
      <c r="D39" s="85" t="s">
        <v>133</v>
      </c>
      <c r="E39" s="85" t="s">
        <v>193</v>
      </c>
      <c r="F39" s="92">
        <f>('Scherer Data'!$D$19/4)*0.6*Q39</f>
        <v>3381.5858625000001</v>
      </c>
      <c r="G39" s="85" t="s">
        <v>33</v>
      </c>
      <c r="H39" s="89">
        <f>'Scherer Data'!$E$19</f>
        <v>-108.3695731319762</v>
      </c>
      <c r="I39" s="187">
        <f>('Scherer Data'!$F$19/4)*0.6*Q39</f>
        <v>-366461.01642825053</v>
      </c>
      <c r="J39" s="85" t="s">
        <v>113</v>
      </c>
      <c r="K39" s="85" t="s">
        <v>110</v>
      </c>
      <c r="L39" s="85" t="s">
        <v>63</v>
      </c>
      <c r="M39" s="85" t="s">
        <v>296</v>
      </c>
      <c r="N39" s="225">
        <f t="shared" si="4"/>
        <v>-108.3695731319762</v>
      </c>
      <c r="O39" s="226">
        <f t="shared" si="5"/>
        <v>-366461.01642825053</v>
      </c>
      <c r="P39" s="88" t="s">
        <v>73</v>
      </c>
      <c r="Q39" s="147">
        <v>0.25</v>
      </c>
      <c r="R39" s="143" t="s">
        <v>237</v>
      </c>
      <c r="S39" s="96" t="s">
        <v>145</v>
      </c>
      <c r="T39" s="84" t="s">
        <v>82</v>
      </c>
      <c r="U39" s="84" t="s">
        <v>99</v>
      </c>
      <c r="V39" s="84" t="str">
        <f t="shared" si="6"/>
        <v>311UND33MSSCHERER-NON3381.5858625nt-108.369573131976Main Power Block - FE Sales</v>
      </c>
    </row>
    <row r="40" spans="1:22" s="231" customFormat="1" ht="15" customHeight="1" x14ac:dyDescent="0.25">
      <c r="A40" s="85" t="s">
        <v>115</v>
      </c>
      <c r="B40" s="86" t="s">
        <v>158</v>
      </c>
      <c r="C40" s="101" t="s">
        <v>149</v>
      </c>
      <c r="D40" s="85" t="s">
        <v>133</v>
      </c>
      <c r="E40" s="85" t="s">
        <v>193</v>
      </c>
      <c r="F40" s="92">
        <f>('Scherer Data'!$D$19/4)*0.25*Q40</f>
        <v>1408.9941093750001</v>
      </c>
      <c r="G40" s="85" t="s">
        <v>33</v>
      </c>
      <c r="H40" s="89">
        <f>'Scherer Data'!$E$19</f>
        <v>-108.3695731319762</v>
      </c>
      <c r="I40" s="187">
        <f>('Scherer Data'!$F$19/4)*0.25*Q40</f>
        <v>-152692.09017843773</v>
      </c>
      <c r="J40" s="85" t="s">
        <v>113</v>
      </c>
      <c r="K40" s="85" t="s">
        <v>110</v>
      </c>
      <c r="L40" s="85" t="s">
        <v>63</v>
      </c>
      <c r="M40" s="85" t="s">
        <v>296</v>
      </c>
      <c r="N40" s="225">
        <f t="shared" si="4"/>
        <v>-108.3695731319762</v>
      </c>
      <c r="O40" s="226">
        <f t="shared" si="5"/>
        <v>-152692.09017843773</v>
      </c>
      <c r="P40" s="88" t="s">
        <v>73</v>
      </c>
      <c r="Q40" s="147">
        <v>0.25</v>
      </c>
      <c r="R40" s="143" t="s">
        <v>237</v>
      </c>
      <c r="S40" s="96" t="s">
        <v>145</v>
      </c>
      <c r="T40" s="84" t="s">
        <v>82</v>
      </c>
      <c r="U40" s="84" t="s">
        <v>99</v>
      </c>
      <c r="V40" s="84" t="str">
        <f t="shared" si="6"/>
        <v>312UND33MSSCHERER-NON1408.994109375nt-108.369573131976Main Power Block - FE Sales</v>
      </c>
    </row>
    <row r="41" spans="1:22" s="231" customFormat="1" ht="15" customHeight="1" x14ac:dyDescent="0.25">
      <c r="A41" s="85" t="s">
        <v>125</v>
      </c>
      <c r="B41" s="86" t="s">
        <v>159</v>
      </c>
      <c r="C41" s="101" t="s">
        <v>149</v>
      </c>
      <c r="D41" s="85" t="s">
        <v>133</v>
      </c>
      <c r="E41" s="85" t="s">
        <v>193</v>
      </c>
      <c r="F41" s="92">
        <f>('Scherer Data'!$D$19/4)*0.15*Q41</f>
        <v>845.39646562500002</v>
      </c>
      <c r="G41" s="85" t="s">
        <v>33</v>
      </c>
      <c r="H41" s="89">
        <f>'Scherer Data'!$E$19</f>
        <v>-108.3695731319762</v>
      </c>
      <c r="I41" s="187">
        <f>('Scherer Data'!$F$19/4)*0.15*Q41</f>
        <v>-91615.254107062632</v>
      </c>
      <c r="J41" s="85" t="s">
        <v>113</v>
      </c>
      <c r="K41" s="85" t="s">
        <v>110</v>
      </c>
      <c r="L41" s="85" t="s">
        <v>63</v>
      </c>
      <c r="M41" s="85" t="s">
        <v>296</v>
      </c>
      <c r="N41" s="225">
        <f t="shared" si="4"/>
        <v>-108.3695731319762</v>
      </c>
      <c r="O41" s="226">
        <f t="shared" si="5"/>
        <v>-91615.254107062632</v>
      </c>
      <c r="P41" s="88" t="s">
        <v>73</v>
      </c>
      <c r="Q41" s="147">
        <v>0.25</v>
      </c>
      <c r="R41" s="143" t="s">
        <v>237</v>
      </c>
      <c r="S41" s="96" t="s">
        <v>145</v>
      </c>
      <c r="T41" s="84" t="s">
        <v>82</v>
      </c>
      <c r="U41" s="84" t="s">
        <v>99</v>
      </c>
      <c r="V41" s="84" t="str">
        <f t="shared" si="6"/>
        <v>314UND33MSSCHERER-NON845.396465625nt-108.369573131976Main Power Block - FE Sales</v>
      </c>
    </row>
    <row r="42" spans="1:22" s="231" customFormat="1" ht="15" customHeight="1" x14ac:dyDescent="0.25">
      <c r="A42" s="85" t="s">
        <v>115</v>
      </c>
      <c r="B42" s="86" t="s">
        <v>158</v>
      </c>
      <c r="C42" s="101" t="s">
        <v>149</v>
      </c>
      <c r="D42" s="85" t="s">
        <v>133</v>
      </c>
      <c r="E42" s="85" t="s">
        <v>193</v>
      </c>
      <c r="F42" s="92">
        <f>'Scherer Data'!$D$22/4*Q42</f>
        <v>69780</v>
      </c>
      <c r="G42" s="85" t="s">
        <v>36</v>
      </c>
      <c r="H42" s="89">
        <f>'Scherer Data'!$E$22</f>
        <v>-0.13699903999999999</v>
      </c>
      <c r="I42" s="187">
        <f>'Scherer Data'!$F$22/4*Q42</f>
        <v>-9559.7930111999995</v>
      </c>
      <c r="J42" s="85" t="s">
        <v>120</v>
      </c>
      <c r="K42" s="85" t="s">
        <v>121</v>
      </c>
      <c r="L42" s="85" t="s">
        <v>63</v>
      </c>
      <c r="M42" s="85" t="s">
        <v>296</v>
      </c>
      <c r="N42" s="225">
        <f t="shared" si="4"/>
        <v>-0.13699903999999999</v>
      </c>
      <c r="O42" s="226">
        <f t="shared" si="5"/>
        <v>-9559.7930111999995</v>
      </c>
      <c r="P42" s="88" t="s">
        <v>73</v>
      </c>
      <c r="Q42" s="147">
        <v>0.25</v>
      </c>
      <c r="R42" s="143" t="s">
        <v>237</v>
      </c>
      <c r="S42" s="96" t="s">
        <v>145</v>
      </c>
      <c r="T42" s="84" t="s">
        <v>82</v>
      </c>
      <c r="U42" s="84" t="s">
        <v>99</v>
      </c>
      <c r="V42" s="84" t="str">
        <f t="shared" si="6"/>
        <v>312UND33MSSCHERER-NON69780lbs-0.13699904Main Power Block - SS Sales</v>
      </c>
    </row>
    <row r="43" spans="1:22" ht="15" customHeight="1" x14ac:dyDescent="0.25">
      <c r="A43" s="85" t="s">
        <v>125</v>
      </c>
      <c r="B43" s="86" t="s">
        <v>159</v>
      </c>
      <c r="C43" s="101" t="s">
        <v>149</v>
      </c>
      <c r="D43" s="85" t="s">
        <v>69</v>
      </c>
      <c r="E43" s="85" t="s">
        <v>193</v>
      </c>
      <c r="F43" s="92">
        <f>'Scherer Data'!$D$23/4*Q43</f>
        <v>1041.6666666666667</v>
      </c>
      <c r="G43" s="85" t="s">
        <v>40</v>
      </c>
      <c r="H43" s="89">
        <f>'Scherer Data'!$E$23</f>
        <v>107.142</v>
      </c>
      <c r="I43" s="187">
        <f>'Scherer Data'!$F$23/4*Q43</f>
        <v>109375.00000000001</v>
      </c>
      <c r="J43" s="85" t="s">
        <v>126</v>
      </c>
      <c r="K43" s="85" t="s">
        <v>63</v>
      </c>
      <c r="L43" s="85" t="s">
        <v>63</v>
      </c>
      <c r="M43" s="85" t="str">
        <f>J43</f>
        <v>Main Power Block - Turbine Foundations Concrete</v>
      </c>
      <c r="N43" s="225">
        <f t="shared" si="4"/>
        <v>107.142</v>
      </c>
      <c r="O43" s="226">
        <f t="shared" si="5"/>
        <v>109375.00000000001</v>
      </c>
      <c r="P43" s="88" t="s">
        <v>73</v>
      </c>
      <c r="Q43" s="147">
        <v>0.25</v>
      </c>
      <c r="R43" s="143" t="s">
        <v>237</v>
      </c>
      <c r="S43" s="96" t="s">
        <v>143</v>
      </c>
      <c r="T43" s="84" t="s">
        <v>82</v>
      </c>
      <c r="U43" s="84" t="s">
        <v>99</v>
      </c>
      <c r="V43" s="84" t="str">
        <f t="shared" si="6"/>
        <v>314UND33LRSCHERER-NON1041.66666666667cy107.142Main Power Block - Turbine Foundations Concrete</v>
      </c>
    </row>
    <row r="44" spans="1:22" ht="15" customHeight="1" x14ac:dyDescent="0.25">
      <c r="A44" s="85" t="s">
        <v>100</v>
      </c>
      <c r="B44" s="86" t="s">
        <v>152</v>
      </c>
      <c r="C44" s="86" t="s">
        <v>71</v>
      </c>
      <c r="D44" s="85" t="s">
        <v>72</v>
      </c>
      <c r="E44" s="85" t="s">
        <v>193</v>
      </c>
      <c r="F44" s="92">
        <f>'Scherer Data'!$D$11*Q44</f>
        <v>9375</v>
      </c>
      <c r="G44" s="85" t="s">
        <v>27</v>
      </c>
      <c r="H44" s="89">
        <v>2500</v>
      </c>
      <c r="I44" s="187">
        <f>'Scherer Data'!$F$11*Q44</f>
        <v>42187.5</v>
      </c>
      <c r="J44" s="85" t="s">
        <v>26</v>
      </c>
      <c r="K44" s="85" t="s">
        <v>63</v>
      </c>
      <c r="L44" s="85" t="s">
        <v>63</v>
      </c>
      <c r="M44" s="85" t="str">
        <f>J44</f>
        <v>Pavement Repairs</v>
      </c>
      <c r="N44" s="225">
        <f t="shared" si="4"/>
        <v>2500</v>
      </c>
      <c r="O44" s="226">
        <f t="shared" si="5"/>
        <v>42187.5</v>
      </c>
      <c r="P44" s="88" t="s">
        <v>73</v>
      </c>
      <c r="Q44" s="147">
        <v>6.25E-2</v>
      </c>
      <c r="R44" s="143" t="s">
        <v>237</v>
      </c>
      <c r="S44" s="96" t="s">
        <v>143</v>
      </c>
      <c r="T44" s="84" t="s">
        <v>82</v>
      </c>
      <c r="U44" s="84" t="s">
        <v>99</v>
      </c>
      <c r="V44" s="84" t="str">
        <f t="shared" si="6"/>
        <v>3110061CCLRSCHERER-NON9375sf2500Pavement Repairs</v>
      </c>
    </row>
    <row r="45" spans="1:22" ht="15" customHeight="1" x14ac:dyDescent="0.25">
      <c r="A45" s="85" t="s">
        <v>93</v>
      </c>
      <c r="B45" s="86" t="s">
        <v>153</v>
      </c>
      <c r="C45" s="86" t="s">
        <v>71</v>
      </c>
      <c r="D45" s="85" t="s">
        <v>72</v>
      </c>
      <c r="E45" s="85" t="s">
        <v>193</v>
      </c>
      <c r="F45" s="87">
        <f t="shared" ref="F45:F50" si="7">1*Q45</f>
        <v>6.25E-2</v>
      </c>
      <c r="G45" s="85" t="s">
        <v>21</v>
      </c>
      <c r="H45" s="89">
        <f>'Scherer Data'!$E$6</f>
        <v>450000</v>
      </c>
      <c r="I45" s="187">
        <f>'Scherer Data'!$F$6*Q45</f>
        <v>28125</v>
      </c>
      <c r="J45" s="85" t="s">
        <v>22</v>
      </c>
      <c r="K45" s="85" t="s">
        <v>63</v>
      </c>
      <c r="L45" s="85" t="s">
        <v>63</v>
      </c>
      <c r="M45" s="85" t="s">
        <v>204</v>
      </c>
      <c r="N45" s="225">
        <f t="shared" si="4"/>
        <v>450000</v>
      </c>
      <c r="O45" s="226">
        <f t="shared" si="5"/>
        <v>28125</v>
      </c>
      <c r="P45" s="88" t="s">
        <v>73</v>
      </c>
      <c r="Q45" s="147">
        <v>6.25E-2</v>
      </c>
      <c r="R45" s="143" t="s">
        <v>237</v>
      </c>
      <c r="S45" s="96" t="s">
        <v>143</v>
      </c>
      <c r="T45" s="84" t="s">
        <v>82</v>
      </c>
      <c r="U45" s="84"/>
      <c r="V45" s="84" t="str">
        <f t="shared" si="6"/>
        <v>3080268EACCLRSCHERER-NON0.0625ls450000Perform environmental survey of above grade structures</v>
      </c>
    </row>
    <row r="46" spans="1:22" ht="15" customHeight="1" x14ac:dyDescent="0.25">
      <c r="A46" s="85" t="s">
        <v>91</v>
      </c>
      <c r="B46" s="86" t="s">
        <v>153</v>
      </c>
      <c r="C46" s="86" t="s">
        <v>71</v>
      </c>
      <c r="D46" s="85" t="s">
        <v>72</v>
      </c>
      <c r="E46" s="102" t="s">
        <v>194</v>
      </c>
      <c r="F46" s="87">
        <f t="shared" si="7"/>
        <v>6.25E-2</v>
      </c>
      <c r="G46" s="85" t="s">
        <v>80</v>
      </c>
      <c r="H46" s="89">
        <f>SUMIFS($I$3:$I$87,$E$3:$E$87,$E46,$U$3:$U$87,"MARKUP",$S$3:$S$87,"REMOVAL")*0.0008</f>
        <v>139.20000000000002</v>
      </c>
      <c r="I46" s="89">
        <f t="shared" ref="I46:I51" si="8">F46*H46</f>
        <v>8.7000000000000011</v>
      </c>
      <c r="J46" s="105" t="s">
        <v>92</v>
      </c>
      <c r="K46" s="85" t="s">
        <v>63</v>
      </c>
      <c r="L46" s="85" t="s">
        <v>63</v>
      </c>
      <c r="M46" s="85" t="str">
        <f>J46</f>
        <v>PERMITS</v>
      </c>
      <c r="N46" s="225">
        <f t="shared" si="4"/>
        <v>139.20000000000002</v>
      </c>
      <c r="O46" s="226">
        <f t="shared" si="5"/>
        <v>8.7000000000000011</v>
      </c>
      <c r="P46" s="88" t="s">
        <v>65</v>
      </c>
      <c r="Q46" s="147">
        <v>6.25E-2</v>
      </c>
      <c r="R46" s="143" t="s">
        <v>237</v>
      </c>
      <c r="S46" s="96" t="s">
        <v>143</v>
      </c>
      <c r="T46" s="84" t="s">
        <v>66</v>
      </c>
      <c r="U46" s="84"/>
      <c r="V46" s="84" t="str">
        <f t="shared" si="6"/>
        <v>3080268CCLRSCHERER-ECO0.0625LT139.2PERMITS</v>
      </c>
    </row>
    <row r="47" spans="1:22" ht="15" customHeight="1" x14ac:dyDescent="0.25">
      <c r="A47" s="85" t="s">
        <v>91</v>
      </c>
      <c r="B47" s="86" t="s">
        <v>153</v>
      </c>
      <c r="C47" s="86" t="s">
        <v>149</v>
      </c>
      <c r="D47" s="85" t="s">
        <v>69</v>
      </c>
      <c r="E47" s="102" t="s">
        <v>297</v>
      </c>
      <c r="F47" s="87">
        <f t="shared" si="7"/>
        <v>6.25E-2</v>
      </c>
      <c r="G47" s="85" t="s">
        <v>80</v>
      </c>
      <c r="H47" s="89">
        <f>SUMIFS($I$3:$I$87,$E$3:$E$87,$E47,$U$3:$U$87,"MARKUP",$S$3:$S$87,"REMOVAL")*0.0008</f>
        <v>104.4</v>
      </c>
      <c r="I47" s="89">
        <f t="shared" si="8"/>
        <v>6.5250000000000004</v>
      </c>
      <c r="J47" s="105" t="s">
        <v>92</v>
      </c>
      <c r="K47" s="85" t="s">
        <v>63</v>
      </c>
      <c r="L47" s="85" t="s">
        <v>63</v>
      </c>
      <c r="M47" s="102" t="s">
        <v>300</v>
      </c>
      <c r="N47" s="225">
        <f t="shared" si="4"/>
        <v>104.4</v>
      </c>
      <c r="O47" s="226">
        <f t="shared" si="5"/>
        <v>6.5250000000000004</v>
      </c>
      <c r="P47" s="88" t="s">
        <v>65</v>
      </c>
      <c r="Q47" s="147">
        <v>6.25E-2</v>
      </c>
      <c r="R47" s="143" t="s">
        <v>237</v>
      </c>
      <c r="S47" s="96" t="s">
        <v>143</v>
      </c>
      <c r="T47" s="84" t="s">
        <v>66</v>
      </c>
      <c r="U47" s="84"/>
      <c r="V47" s="84" t="str">
        <f t="shared" si="6"/>
        <v>308026833LRSCHERER-ECOB0.0625LT104.4PERMITS</v>
      </c>
    </row>
    <row r="48" spans="1:22" ht="15" customHeight="1" x14ac:dyDescent="0.25">
      <c r="A48" s="85" t="s">
        <v>91</v>
      </c>
      <c r="B48" s="86" t="s">
        <v>153</v>
      </c>
      <c r="C48" s="101" t="s">
        <v>149</v>
      </c>
      <c r="D48" s="85" t="s">
        <v>69</v>
      </c>
      <c r="E48" s="102" t="s">
        <v>298</v>
      </c>
      <c r="F48" s="87">
        <f t="shared" si="7"/>
        <v>6.25E-2</v>
      </c>
      <c r="G48" s="85" t="s">
        <v>80</v>
      </c>
      <c r="H48" s="89">
        <f>SUMIFS($I$3:$I$87,$E$3:$E$87,$E48,$U$3:$U$87,"MARKUP",$S$3:$S$87,"REMOVAL")*0.0008</f>
        <v>120.31200000000001</v>
      </c>
      <c r="I48" s="89">
        <f t="shared" si="8"/>
        <v>7.5195000000000007</v>
      </c>
      <c r="J48" s="105" t="s">
        <v>92</v>
      </c>
      <c r="K48" s="85" t="s">
        <v>63</v>
      </c>
      <c r="L48" s="85" t="s">
        <v>63</v>
      </c>
      <c r="M48" s="102" t="s">
        <v>301</v>
      </c>
      <c r="N48" s="225">
        <f t="shared" si="4"/>
        <v>120.31200000000001</v>
      </c>
      <c r="O48" s="226">
        <f t="shared" si="5"/>
        <v>7.5195000000000007</v>
      </c>
      <c r="P48" s="88" t="s">
        <v>65</v>
      </c>
      <c r="Q48" s="147">
        <v>6.25E-2</v>
      </c>
      <c r="R48" s="143" t="s">
        <v>237</v>
      </c>
      <c r="S48" s="96" t="s">
        <v>143</v>
      </c>
      <c r="T48" s="84" t="s">
        <v>66</v>
      </c>
      <c r="U48" s="84"/>
      <c r="V48" s="84" t="str">
        <f t="shared" si="6"/>
        <v>308026833LRSCHERER-ECOF0.0625LT120.312PERMITS</v>
      </c>
    </row>
    <row r="49" spans="1:22" ht="15" customHeight="1" x14ac:dyDescent="0.25">
      <c r="A49" s="85" t="s">
        <v>91</v>
      </c>
      <c r="B49" s="86" t="s">
        <v>153</v>
      </c>
      <c r="C49" s="101" t="s">
        <v>149</v>
      </c>
      <c r="D49" s="85" t="s">
        <v>69</v>
      </c>
      <c r="E49" s="102" t="s">
        <v>299</v>
      </c>
      <c r="F49" s="87">
        <f t="shared" si="7"/>
        <v>6.25E-2</v>
      </c>
      <c r="G49" s="85" t="s">
        <v>80</v>
      </c>
      <c r="H49" s="89">
        <f>SUMIFS($I$3:$I$87,$E$3:$E$87,$E49,$U$3:$U$87,"MARKUP",$S$3:$S$87,"REMOVAL")*0.0008</f>
        <v>143</v>
      </c>
      <c r="I49" s="89">
        <f t="shared" si="8"/>
        <v>8.9375</v>
      </c>
      <c r="J49" s="105" t="s">
        <v>92</v>
      </c>
      <c r="K49" s="85" t="s">
        <v>63</v>
      </c>
      <c r="L49" s="85" t="s">
        <v>63</v>
      </c>
      <c r="M49" s="102" t="s">
        <v>302</v>
      </c>
      <c r="N49" s="225">
        <f t="shared" si="4"/>
        <v>143</v>
      </c>
      <c r="O49" s="226">
        <f t="shared" si="5"/>
        <v>8.9375</v>
      </c>
      <c r="P49" s="88" t="s">
        <v>65</v>
      </c>
      <c r="Q49" s="147">
        <v>6.25E-2</v>
      </c>
      <c r="R49" s="143" t="s">
        <v>237</v>
      </c>
      <c r="S49" s="96" t="s">
        <v>143</v>
      </c>
      <c r="T49" s="84" t="s">
        <v>66</v>
      </c>
      <c r="U49" s="84"/>
      <c r="V49" s="84" t="str">
        <f t="shared" si="6"/>
        <v>308026833LRSCHERER-ECOS0.0625LT143PERMITS</v>
      </c>
    </row>
    <row r="50" spans="1:22" ht="15" customHeight="1" x14ac:dyDescent="0.25">
      <c r="A50" s="85" t="s">
        <v>91</v>
      </c>
      <c r="B50" s="86" t="s">
        <v>153</v>
      </c>
      <c r="C50" s="86" t="s">
        <v>71</v>
      </c>
      <c r="D50" s="85" t="s">
        <v>72</v>
      </c>
      <c r="E50" s="85" t="s">
        <v>193</v>
      </c>
      <c r="F50" s="87">
        <f t="shared" si="7"/>
        <v>6.25E-2</v>
      </c>
      <c r="G50" s="85" t="s">
        <v>80</v>
      </c>
      <c r="H50" s="89">
        <f>SUMIFS($I$3:$I$87,$E$3:$E$87,$E50,$U$3:$U$87,"MARKUP",$S$3:$S$87,"REMOVAL")*0.0008</f>
        <v>1754.5252000000005</v>
      </c>
      <c r="I50" s="89">
        <f t="shared" si="8"/>
        <v>109.65782500000003</v>
      </c>
      <c r="J50" s="105" t="s">
        <v>92</v>
      </c>
      <c r="K50" s="85" t="s">
        <v>63</v>
      </c>
      <c r="L50" s="85" t="s">
        <v>63</v>
      </c>
      <c r="M50" s="85" t="str">
        <f>J50</f>
        <v>PERMITS</v>
      </c>
      <c r="N50" s="225">
        <f t="shared" si="4"/>
        <v>1754.5252000000005</v>
      </c>
      <c r="O50" s="226">
        <f t="shared" si="5"/>
        <v>109.65782500000003</v>
      </c>
      <c r="P50" s="88" t="s">
        <v>73</v>
      </c>
      <c r="Q50" s="147">
        <v>6.25E-2</v>
      </c>
      <c r="R50" s="143" t="s">
        <v>237</v>
      </c>
      <c r="S50" s="96" t="s">
        <v>143</v>
      </c>
      <c r="T50" s="84" t="s">
        <v>66</v>
      </c>
      <c r="U50" s="84"/>
      <c r="V50" s="84" t="str">
        <f t="shared" si="6"/>
        <v>3080268CCLRSCHERER-NON0.0625LT1754.5252PERMITS</v>
      </c>
    </row>
    <row r="51" spans="1:22" ht="15" customHeight="1" x14ac:dyDescent="0.25">
      <c r="A51" s="85" t="s">
        <v>74</v>
      </c>
      <c r="B51" s="86" t="s">
        <v>155</v>
      </c>
      <c r="C51" s="86" t="s">
        <v>71</v>
      </c>
      <c r="D51" s="85" t="s">
        <v>72</v>
      </c>
      <c r="E51" s="85" t="s">
        <v>193</v>
      </c>
      <c r="F51" s="87">
        <f>16*Q51</f>
        <v>1</v>
      </c>
      <c r="G51" s="85" t="s">
        <v>75</v>
      </c>
      <c r="H51" s="89">
        <v>135010.76</v>
      </c>
      <c r="I51" s="89">
        <f t="shared" si="8"/>
        <v>135010.76</v>
      </c>
      <c r="J51" s="85" t="s">
        <v>76</v>
      </c>
      <c r="K51" s="85" t="s">
        <v>63</v>
      </c>
      <c r="L51" s="85" t="s">
        <v>63</v>
      </c>
      <c r="M51" s="85" t="str">
        <f>J51</f>
        <v>POWER GENERATION SUPERVISION</v>
      </c>
      <c r="N51" s="225">
        <f t="shared" si="4"/>
        <v>135010.76</v>
      </c>
      <c r="O51" s="226">
        <f t="shared" si="5"/>
        <v>135010.76</v>
      </c>
      <c r="P51" s="88" t="s">
        <v>73</v>
      </c>
      <c r="Q51" s="147">
        <v>6.25E-2</v>
      </c>
      <c r="R51" s="143" t="s">
        <v>237</v>
      </c>
      <c r="S51" s="96" t="s">
        <v>143</v>
      </c>
      <c r="T51" s="84" t="s">
        <v>66</v>
      </c>
      <c r="U51" s="84"/>
      <c r="V51" s="84" t="str">
        <f t="shared" si="6"/>
        <v>3070041CCLRSCHERER-NON1MY135010.76POWER GENERATION SUPERVISION</v>
      </c>
    </row>
    <row r="52" spans="1:22" ht="15" customHeight="1" x14ac:dyDescent="0.25">
      <c r="A52" s="85" t="s">
        <v>115</v>
      </c>
      <c r="B52" s="86" t="s">
        <v>158</v>
      </c>
      <c r="C52" s="101" t="s">
        <v>149</v>
      </c>
      <c r="D52" s="85" t="s">
        <v>69</v>
      </c>
      <c r="E52" s="102" t="s">
        <v>194</v>
      </c>
      <c r="F52" s="92">
        <f>'Scherer Data'!$D$34/4*Q52</f>
        <v>725</v>
      </c>
      <c r="G52" s="85" t="s">
        <v>33</v>
      </c>
      <c r="H52" s="89">
        <f>'Scherer Data'!$E$34</f>
        <v>255.1</v>
      </c>
      <c r="I52" s="187">
        <f>'Scherer Data'!$F$34/4*Q52</f>
        <v>174000</v>
      </c>
      <c r="J52" s="85" t="s">
        <v>122</v>
      </c>
      <c r="K52" s="85" t="s">
        <v>63</v>
      </c>
      <c r="L52" s="85" t="s">
        <v>63</v>
      </c>
      <c r="M52" s="85" t="str">
        <f>J52</f>
        <v>Precipitators - DEMO</v>
      </c>
      <c r="N52" s="225">
        <f t="shared" si="4"/>
        <v>255.1</v>
      </c>
      <c r="O52" s="226">
        <f t="shared" si="5"/>
        <v>174000</v>
      </c>
      <c r="P52" s="88" t="s">
        <v>65</v>
      </c>
      <c r="Q52" s="147">
        <v>0.25</v>
      </c>
      <c r="R52" s="143" t="s">
        <v>237</v>
      </c>
      <c r="S52" s="96" t="s">
        <v>143</v>
      </c>
      <c r="T52" s="84" t="s">
        <v>82</v>
      </c>
      <c r="U52" s="84" t="s">
        <v>99</v>
      </c>
      <c r="V52" s="84" t="str">
        <f t="shared" si="6"/>
        <v>312UND33LRSCHERER-ECO725nt255.1Precipitators - DEMO</v>
      </c>
    </row>
    <row r="53" spans="1:22" ht="15" customHeight="1" x14ac:dyDescent="0.25">
      <c r="A53" s="85" t="s">
        <v>115</v>
      </c>
      <c r="B53" s="86" t="s">
        <v>158</v>
      </c>
      <c r="C53" s="101" t="s">
        <v>149</v>
      </c>
      <c r="D53" s="85" t="s">
        <v>133</v>
      </c>
      <c r="E53" s="102" t="s">
        <v>194</v>
      </c>
      <c r="F53" s="92">
        <f>'Scherer Data'!$D$35/4*Q53</f>
        <v>725</v>
      </c>
      <c r="G53" s="85" t="s">
        <v>33</v>
      </c>
      <c r="H53" s="89">
        <f>'Scherer Data'!$E$35</f>
        <v>-108.3695731319762</v>
      </c>
      <c r="I53" s="187">
        <f>'Scherer Data'!$F$35/4*Q53</f>
        <v>-78567.940520682736</v>
      </c>
      <c r="J53" s="85" t="s">
        <v>123</v>
      </c>
      <c r="K53" s="85" t="s">
        <v>110</v>
      </c>
      <c r="L53" s="85" t="s">
        <v>63</v>
      </c>
      <c r="M53" s="85" t="s">
        <v>296</v>
      </c>
      <c r="N53" s="225">
        <f t="shared" si="4"/>
        <v>-108.3695731319762</v>
      </c>
      <c r="O53" s="226">
        <f t="shared" si="5"/>
        <v>-78567.940520682736</v>
      </c>
      <c r="P53" s="88" t="s">
        <v>65</v>
      </c>
      <c r="Q53" s="147">
        <v>0.25</v>
      </c>
      <c r="R53" s="143" t="s">
        <v>237</v>
      </c>
      <c r="S53" s="96" t="s">
        <v>145</v>
      </c>
      <c r="T53" s="84" t="s">
        <v>82</v>
      </c>
      <c r="U53" s="84" t="s">
        <v>99</v>
      </c>
      <c r="V53" s="84" t="str">
        <f t="shared" si="6"/>
        <v>312UND33MSSCHERER-ECO725nt-108.369573131976Precipitators - FE Sales</v>
      </c>
    </row>
    <row r="54" spans="1:22" ht="15" customHeight="1" x14ac:dyDescent="0.25">
      <c r="A54" s="85" t="s">
        <v>101</v>
      </c>
      <c r="B54" s="86" t="s">
        <v>152</v>
      </c>
      <c r="C54" s="101" t="s">
        <v>149</v>
      </c>
      <c r="D54" s="85" t="s">
        <v>135</v>
      </c>
      <c r="E54" s="85" t="s">
        <v>193</v>
      </c>
      <c r="F54" s="92">
        <f>'Scherer Data'!$D$28/4*Q54</f>
        <v>1125</v>
      </c>
      <c r="G54" s="85" t="s">
        <v>33</v>
      </c>
      <c r="H54" s="89">
        <f>'Scherer Data'!$E$28</f>
        <v>15.305999999999999</v>
      </c>
      <c r="I54" s="187">
        <f>'Scherer Data'!$F$28/4*Q54</f>
        <v>16875</v>
      </c>
      <c r="J54" s="85" t="s">
        <v>103</v>
      </c>
      <c r="K54" s="85" t="s">
        <v>63</v>
      </c>
      <c r="L54" s="85" t="s">
        <v>63</v>
      </c>
      <c r="M54" s="85" t="str">
        <f>J54</f>
        <v>Process, haul and backfill brick &amp; block</v>
      </c>
      <c r="N54" s="225">
        <f t="shared" si="4"/>
        <v>15.305999999999999</v>
      </c>
      <c r="O54" s="226">
        <f t="shared" si="5"/>
        <v>16875</v>
      </c>
      <c r="P54" s="88" t="s">
        <v>73</v>
      </c>
      <c r="Q54" s="147">
        <v>0.25</v>
      </c>
      <c r="R54" s="143" t="s">
        <v>237</v>
      </c>
      <c r="S54" s="96" t="s">
        <v>146</v>
      </c>
      <c r="T54" s="84" t="s">
        <v>82</v>
      </c>
      <c r="U54" s="84" t="s">
        <v>99</v>
      </c>
      <c r="V54" s="84" t="str">
        <f t="shared" si="6"/>
        <v>3111002CN33LDSCHERER-NON1125nt15.306Process, haul and backfill brick &amp; block</v>
      </c>
    </row>
    <row r="55" spans="1:22" ht="15" customHeight="1" x14ac:dyDescent="0.25">
      <c r="A55" s="85" t="s">
        <v>251</v>
      </c>
      <c r="B55" s="86" t="s">
        <v>152</v>
      </c>
      <c r="C55" s="86" t="s">
        <v>71</v>
      </c>
      <c r="D55" s="85" t="s">
        <v>72</v>
      </c>
      <c r="E55" s="102" t="s">
        <v>255</v>
      </c>
      <c r="F55" s="175">
        <f>533*Q55</f>
        <v>33.3125</v>
      </c>
      <c r="G55" s="85" t="s">
        <v>252</v>
      </c>
      <c r="H55" s="104">
        <f>10453578/533</f>
        <v>19612.716697936212</v>
      </c>
      <c r="I55" s="187">
        <f>F55*H55</f>
        <v>653348.625</v>
      </c>
      <c r="J55" s="85" t="s">
        <v>303</v>
      </c>
      <c r="K55" s="85" t="s">
        <v>63</v>
      </c>
      <c r="L55" s="85" t="s">
        <v>63</v>
      </c>
      <c r="M55" s="85" t="str">
        <f>J55</f>
        <v>Scherer Ash Pond</v>
      </c>
      <c r="N55" s="225">
        <f t="shared" si="4"/>
        <v>19612.716697936212</v>
      </c>
      <c r="O55" s="226">
        <f t="shared" si="5"/>
        <v>653348.625</v>
      </c>
      <c r="P55" s="143" t="s">
        <v>254</v>
      </c>
      <c r="Q55" s="147">
        <v>6.25E-2</v>
      </c>
      <c r="R55" s="143" t="s">
        <v>237</v>
      </c>
      <c r="S55" s="96" t="s">
        <v>143</v>
      </c>
      <c r="T55" s="84" t="s">
        <v>66</v>
      </c>
      <c r="U55" s="107"/>
      <c r="V55" s="84" t="str">
        <f t="shared" si="6"/>
        <v>3110230CCLRSCHERER-ASH33.3125AC19612.7166979362Scherer Ash Pond</v>
      </c>
    </row>
    <row r="56" spans="1:22" ht="15" customHeight="1" x14ac:dyDescent="0.25">
      <c r="A56" s="85" t="s">
        <v>251</v>
      </c>
      <c r="B56" s="86" t="s">
        <v>152</v>
      </c>
      <c r="C56" s="86" t="s">
        <v>71</v>
      </c>
      <c r="D56" s="85" t="s">
        <v>72</v>
      </c>
      <c r="E56" s="102" t="s">
        <v>255</v>
      </c>
      <c r="F56" s="175">
        <f>28*Q56</f>
        <v>1.75</v>
      </c>
      <c r="G56" s="85" t="s">
        <v>252</v>
      </c>
      <c r="H56" s="104">
        <f>54610/28</f>
        <v>1950.3571428571429</v>
      </c>
      <c r="I56" s="187">
        <f>F56*H56</f>
        <v>3413.125</v>
      </c>
      <c r="J56" s="85" t="s">
        <v>304</v>
      </c>
      <c r="K56" s="85" t="s">
        <v>63</v>
      </c>
      <c r="L56" s="85" t="s">
        <v>63</v>
      </c>
      <c r="M56" s="85" t="str">
        <f t="shared" ref="M56:M58" si="9">J56</f>
        <v>Scherer CD Landfill</v>
      </c>
      <c r="N56" s="225">
        <f t="shared" si="4"/>
        <v>1950.3571428571429</v>
      </c>
      <c r="O56" s="226">
        <f t="shared" si="5"/>
        <v>3413.125</v>
      </c>
      <c r="P56" s="143" t="s">
        <v>254</v>
      </c>
      <c r="Q56" s="147">
        <v>6.25E-2</v>
      </c>
      <c r="R56" s="143" t="s">
        <v>237</v>
      </c>
      <c r="S56" s="96" t="s">
        <v>143</v>
      </c>
      <c r="T56" s="84" t="s">
        <v>66</v>
      </c>
      <c r="U56" s="107"/>
      <c r="V56" s="84" t="str">
        <f t="shared" si="6"/>
        <v>3110230CCLRSCHERER-ASH1.75AC1950.35714285714Scherer CD Landfill</v>
      </c>
    </row>
    <row r="57" spans="1:22" s="233" customFormat="1" ht="15" customHeight="1" x14ac:dyDescent="0.25">
      <c r="A57" s="85" t="s">
        <v>251</v>
      </c>
      <c r="B57" s="86" t="s">
        <v>152</v>
      </c>
      <c r="C57" s="86" t="s">
        <v>71</v>
      </c>
      <c r="D57" s="85" t="s">
        <v>72</v>
      </c>
      <c r="E57" s="102" t="s">
        <v>255</v>
      </c>
      <c r="F57" s="175">
        <f>69*Q57</f>
        <v>4.3125</v>
      </c>
      <c r="G57" s="85" t="s">
        <v>252</v>
      </c>
      <c r="H57" s="104">
        <f>284260/69</f>
        <v>4119.710144927536</v>
      </c>
      <c r="I57" s="187">
        <f>F57*H57</f>
        <v>17766.25</v>
      </c>
      <c r="J57" s="85" t="s">
        <v>305</v>
      </c>
      <c r="K57" s="85" t="s">
        <v>63</v>
      </c>
      <c r="L57" s="85" t="s">
        <v>63</v>
      </c>
      <c r="M57" s="85" t="str">
        <f t="shared" ref="M57" si="10">J57</f>
        <v>Scherer Gypsum Storage Cell</v>
      </c>
      <c r="N57" s="225">
        <f t="shared" ref="N57" si="11">H57</f>
        <v>4119.710144927536</v>
      </c>
      <c r="O57" s="226">
        <f t="shared" ref="O57" si="12">I57</f>
        <v>17766.25</v>
      </c>
      <c r="P57" s="143" t="s">
        <v>254</v>
      </c>
      <c r="Q57" s="147">
        <v>6.25E-2</v>
      </c>
      <c r="R57" s="143" t="s">
        <v>237</v>
      </c>
      <c r="S57" s="96" t="s">
        <v>143</v>
      </c>
      <c r="T57" s="84" t="s">
        <v>66</v>
      </c>
      <c r="U57" s="107"/>
      <c r="V57" s="84" t="str">
        <f t="shared" ref="V57" si="13">A57&amp;C57&amp;D57&amp;E57&amp;F57&amp;G57&amp;H57&amp;J57</f>
        <v>3110230CCLRSCHERER-ASH4.3125AC4119.71014492754Scherer Gypsum Storage Cell</v>
      </c>
    </row>
    <row r="58" spans="1:22" ht="15" customHeight="1" x14ac:dyDescent="0.25">
      <c r="A58" s="85" t="s">
        <v>251</v>
      </c>
      <c r="B58" s="86" t="s">
        <v>152</v>
      </c>
      <c r="C58" s="86" t="s">
        <v>71</v>
      </c>
      <c r="D58" s="85" t="s">
        <v>72</v>
      </c>
      <c r="E58" s="102" t="s">
        <v>255</v>
      </c>
      <c r="F58" s="175">
        <f>11*Q58</f>
        <v>0.6875</v>
      </c>
      <c r="G58" s="85" t="s">
        <v>252</v>
      </c>
      <c r="H58" s="104">
        <f>204723/11</f>
        <v>18611.18181818182</v>
      </c>
      <c r="I58" s="187">
        <f>F58*H58</f>
        <v>12795.187500000002</v>
      </c>
      <c r="J58" s="85" t="s">
        <v>306</v>
      </c>
      <c r="K58" s="85" t="s">
        <v>63</v>
      </c>
      <c r="L58" s="85" t="s">
        <v>63</v>
      </c>
      <c r="M58" s="85" t="str">
        <f t="shared" si="9"/>
        <v>Scherer PAC/Ash Cell</v>
      </c>
      <c r="N58" s="225">
        <f t="shared" si="4"/>
        <v>18611.18181818182</v>
      </c>
      <c r="O58" s="226">
        <f t="shared" si="5"/>
        <v>12795.187500000002</v>
      </c>
      <c r="P58" s="143" t="s">
        <v>254</v>
      </c>
      <c r="Q58" s="147">
        <v>6.25E-2</v>
      </c>
      <c r="R58" s="143" t="s">
        <v>237</v>
      </c>
      <c r="S58" s="96" t="s">
        <v>143</v>
      </c>
      <c r="T58" s="84" t="s">
        <v>66</v>
      </c>
      <c r="U58" s="107"/>
      <c r="V58" s="84" t="str">
        <f t="shared" si="6"/>
        <v>3110230CCLRSCHERER-ASH0.6875AC18611.1818181818Scherer PAC/Ash Cell</v>
      </c>
    </row>
    <row r="59" spans="1:22" s="77" customFormat="1" ht="15" customHeight="1" x14ac:dyDescent="0.25">
      <c r="A59" s="100" t="s">
        <v>115</v>
      </c>
      <c r="B59" s="86" t="s">
        <v>158</v>
      </c>
      <c r="C59" s="101" t="s">
        <v>149</v>
      </c>
      <c r="D59" s="102" t="s">
        <v>69</v>
      </c>
      <c r="E59" s="102" t="s">
        <v>299</v>
      </c>
      <c r="F59" s="108">
        <f>'Scherer Data'!$D$38/4*Q59</f>
        <v>687.5</v>
      </c>
      <c r="G59" s="102" t="s">
        <v>33</v>
      </c>
      <c r="H59" s="229">
        <f>'Scherer Data'!$E$38</f>
        <v>275.50799999999998</v>
      </c>
      <c r="I59" s="230">
        <f>'Scherer Data'!$F$38/4*Q59</f>
        <v>178750</v>
      </c>
      <c r="J59" s="102" t="s">
        <v>138</v>
      </c>
      <c r="K59" s="102"/>
      <c r="L59" s="102"/>
      <c r="M59" s="102" t="s">
        <v>302</v>
      </c>
      <c r="N59" s="225">
        <f t="shared" si="4"/>
        <v>275.50799999999998</v>
      </c>
      <c r="O59" s="226">
        <f t="shared" si="5"/>
        <v>178750</v>
      </c>
      <c r="P59" s="232" t="s">
        <v>65</v>
      </c>
      <c r="Q59" s="147">
        <v>0.25</v>
      </c>
      <c r="R59" s="143" t="s">
        <v>237</v>
      </c>
      <c r="S59" s="96" t="s">
        <v>143</v>
      </c>
      <c r="T59" s="232" t="s">
        <v>82</v>
      </c>
      <c r="U59" s="232" t="s">
        <v>99</v>
      </c>
      <c r="V59" s="84" t="str">
        <f t="shared" si="6"/>
        <v>312UND33LRSCHERER-ECOS687.5nt275.508SCR DEMO</v>
      </c>
    </row>
    <row r="60" spans="1:22" s="77" customFormat="1" ht="15" customHeight="1" x14ac:dyDescent="0.25">
      <c r="A60" s="100" t="s">
        <v>115</v>
      </c>
      <c r="B60" s="86" t="s">
        <v>158</v>
      </c>
      <c r="C60" s="101" t="s">
        <v>149</v>
      </c>
      <c r="D60" s="102" t="s">
        <v>133</v>
      </c>
      <c r="E60" s="102" t="s">
        <v>299</v>
      </c>
      <c r="F60" s="108">
        <f>'Scherer Data'!$D$39/4*Q60</f>
        <v>687.5</v>
      </c>
      <c r="G60" s="102" t="s">
        <v>33</v>
      </c>
      <c r="H60" s="229">
        <f>'Scherer Data'!$E$39</f>
        <v>-108.3695731319762</v>
      </c>
      <c r="I60" s="230">
        <f>'Scherer Data'!$F$39/4*Q60</f>
        <v>-74504.081528233641</v>
      </c>
      <c r="J60" s="102" t="s">
        <v>139</v>
      </c>
      <c r="K60" s="85" t="s">
        <v>110</v>
      </c>
      <c r="L60" s="102"/>
      <c r="M60" s="102" t="s">
        <v>302</v>
      </c>
      <c r="N60" s="225">
        <f t="shared" si="4"/>
        <v>-108.3695731319762</v>
      </c>
      <c r="O60" s="226">
        <f t="shared" si="5"/>
        <v>-74504.081528233641</v>
      </c>
      <c r="P60" s="232" t="s">
        <v>65</v>
      </c>
      <c r="Q60" s="147">
        <v>0.25</v>
      </c>
      <c r="R60" s="143" t="s">
        <v>237</v>
      </c>
      <c r="S60" s="96" t="s">
        <v>145</v>
      </c>
      <c r="T60" s="232" t="s">
        <v>82</v>
      </c>
      <c r="U60" s="232" t="s">
        <v>99</v>
      </c>
      <c r="V60" s="84" t="str">
        <f t="shared" si="6"/>
        <v>312UND33MSSCHERER-ECOS687.5nt-108.369573131976SCR FE SALES</v>
      </c>
    </row>
    <row r="61" spans="1:22" s="154" customFormat="1" ht="15" customHeight="1" x14ac:dyDescent="0.25">
      <c r="A61" s="106">
        <v>3080241</v>
      </c>
      <c r="B61" s="86" t="s">
        <v>153</v>
      </c>
      <c r="C61" s="86" t="s">
        <v>71</v>
      </c>
      <c r="D61" s="85" t="s">
        <v>72</v>
      </c>
      <c r="E61" s="102" t="s">
        <v>194</v>
      </c>
      <c r="F61" s="162">
        <v>3</v>
      </c>
      <c r="G61" s="85" t="s">
        <v>14</v>
      </c>
      <c r="H61" s="89">
        <f>SUMIFS($I$3:$I$87,$E$3:$E$87,$E61,$U$3:$U$87,"MARKUP",$S$3:$S$87,"REMOVAL")*0.01*Q61</f>
        <v>108.75</v>
      </c>
      <c r="I61" s="89">
        <f t="shared" ref="I61:I66" si="14">F61*H61</f>
        <v>326.25</v>
      </c>
      <c r="J61" s="164" t="s">
        <v>88</v>
      </c>
      <c r="K61" s="85" t="s">
        <v>63</v>
      </c>
      <c r="L61" s="85" t="s">
        <v>63</v>
      </c>
      <c r="M61" s="85" t="str">
        <f>J61</f>
        <v>SCS ENGINEERING</v>
      </c>
      <c r="N61" s="225">
        <f t="shared" si="4"/>
        <v>108.75</v>
      </c>
      <c r="O61" s="226">
        <f t="shared" si="5"/>
        <v>326.25</v>
      </c>
      <c r="P61" s="88" t="s">
        <v>65</v>
      </c>
      <c r="Q61" s="147">
        <v>6.25E-2</v>
      </c>
      <c r="R61" s="143" t="s">
        <v>237</v>
      </c>
      <c r="S61" s="96" t="s">
        <v>143</v>
      </c>
      <c r="T61" s="84" t="s">
        <v>66</v>
      </c>
      <c r="U61" s="84"/>
      <c r="V61" s="84" t="str">
        <f t="shared" si="6"/>
        <v>3080241CCLRSCHERER-ECO3%108.75SCS ENGINEERING</v>
      </c>
    </row>
    <row r="62" spans="1:22" s="154" customFormat="1" ht="15" customHeight="1" x14ac:dyDescent="0.25">
      <c r="A62" s="106">
        <v>3080241</v>
      </c>
      <c r="B62" s="86" t="s">
        <v>153</v>
      </c>
      <c r="C62" s="86" t="s">
        <v>149</v>
      </c>
      <c r="D62" s="85" t="s">
        <v>69</v>
      </c>
      <c r="E62" s="102" t="s">
        <v>297</v>
      </c>
      <c r="F62" s="162">
        <v>3</v>
      </c>
      <c r="G62" s="85" t="s">
        <v>14</v>
      </c>
      <c r="H62" s="89">
        <f>SUMIFS($I$3:$I$87,$E$3:$E$87,$E62,$U$3:$U$87,"MARKUP",$S$3:$S$87,"REMOVAL")*0.01*Q62</f>
        <v>81.5625</v>
      </c>
      <c r="I62" s="89">
        <f t="shared" si="14"/>
        <v>244.6875</v>
      </c>
      <c r="J62" s="164" t="s">
        <v>88</v>
      </c>
      <c r="K62" s="85" t="s">
        <v>63</v>
      </c>
      <c r="L62" s="85" t="s">
        <v>63</v>
      </c>
      <c r="M62" s="102" t="s">
        <v>300</v>
      </c>
      <c r="N62" s="225">
        <f t="shared" si="4"/>
        <v>81.5625</v>
      </c>
      <c r="O62" s="226">
        <f t="shared" si="5"/>
        <v>244.6875</v>
      </c>
      <c r="P62" s="88" t="s">
        <v>65</v>
      </c>
      <c r="Q62" s="147">
        <v>6.25E-2</v>
      </c>
      <c r="R62" s="143" t="s">
        <v>237</v>
      </c>
      <c r="S62" s="96" t="s">
        <v>143</v>
      </c>
      <c r="T62" s="84" t="s">
        <v>66</v>
      </c>
      <c r="U62" s="84"/>
      <c r="V62" s="84" t="str">
        <f t="shared" si="6"/>
        <v>308024133LRSCHERER-ECOB3%81.5625SCS ENGINEERING</v>
      </c>
    </row>
    <row r="63" spans="1:22" s="154" customFormat="1" ht="15" customHeight="1" x14ac:dyDescent="0.25">
      <c r="A63" s="106">
        <v>3080241</v>
      </c>
      <c r="B63" s="86" t="s">
        <v>153</v>
      </c>
      <c r="C63" s="101" t="s">
        <v>149</v>
      </c>
      <c r="D63" s="85" t="s">
        <v>69</v>
      </c>
      <c r="E63" s="102" t="s">
        <v>298</v>
      </c>
      <c r="F63" s="162">
        <v>3</v>
      </c>
      <c r="G63" s="85" t="s">
        <v>14</v>
      </c>
      <c r="H63" s="89">
        <f>SUMIFS($I$3:$I$87,$E$3:$E$87,$E63,$U$3:$U$87,"MARKUP",$S$3:$S$87,"REMOVAL")*0.01*Q63</f>
        <v>93.993750000000006</v>
      </c>
      <c r="I63" s="89">
        <f t="shared" si="14"/>
        <v>281.98125000000005</v>
      </c>
      <c r="J63" s="164" t="s">
        <v>88</v>
      </c>
      <c r="K63" s="85" t="s">
        <v>63</v>
      </c>
      <c r="L63" s="85" t="s">
        <v>63</v>
      </c>
      <c r="M63" s="102" t="s">
        <v>301</v>
      </c>
      <c r="N63" s="225">
        <f t="shared" si="4"/>
        <v>93.993750000000006</v>
      </c>
      <c r="O63" s="226">
        <f t="shared" si="5"/>
        <v>281.98125000000005</v>
      </c>
      <c r="P63" s="88" t="s">
        <v>65</v>
      </c>
      <c r="Q63" s="147">
        <v>6.25E-2</v>
      </c>
      <c r="R63" s="143" t="s">
        <v>237</v>
      </c>
      <c r="S63" s="96" t="s">
        <v>143</v>
      </c>
      <c r="T63" s="84" t="s">
        <v>66</v>
      </c>
      <c r="U63" s="84"/>
      <c r="V63" s="84" t="str">
        <f t="shared" si="6"/>
        <v>308024133LRSCHERER-ECOF3%93.99375SCS ENGINEERING</v>
      </c>
    </row>
    <row r="64" spans="1:22" s="154" customFormat="1" ht="15" customHeight="1" x14ac:dyDescent="0.25">
      <c r="A64" s="106">
        <v>3080241</v>
      </c>
      <c r="B64" s="86" t="s">
        <v>153</v>
      </c>
      <c r="C64" s="101" t="s">
        <v>149</v>
      </c>
      <c r="D64" s="85" t="s">
        <v>69</v>
      </c>
      <c r="E64" s="102" t="s">
        <v>299</v>
      </c>
      <c r="F64" s="162">
        <v>3</v>
      </c>
      <c r="G64" s="85" t="s">
        <v>14</v>
      </c>
      <c r="H64" s="89">
        <f>SUMIFS($I$3:$I$87,$E$3:$E$87,$E64,$U$3:$U$87,"MARKUP",$S$3:$S$87,"REMOVAL")*0.01*Q64</f>
        <v>111.71875</v>
      </c>
      <c r="I64" s="89">
        <f t="shared" si="14"/>
        <v>335.15625</v>
      </c>
      <c r="J64" s="164" t="s">
        <v>88</v>
      </c>
      <c r="K64" s="85" t="s">
        <v>63</v>
      </c>
      <c r="L64" s="85" t="s">
        <v>63</v>
      </c>
      <c r="M64" s="102" t="s">
        <v>302</v>
      </c>
      <c r="N64" s="225">
        <f t="shared" si="4"/>
        <v>111.71875</v>
      </c>
      <c r="O64" s="226">
        <f t="shared" si="5"/>
        <v>335.15625</v>
      </c>
      <c r="P64" s="88" t="s">
        <v>65</v>
      </c>
      <c r="Q64" s="147">
        <v>6.25E-2</v>
      </c>
      <c r="R64" s="143" t="s">
        <v>237</v>
      </c>
      <c r="S64" s="96" t="s">
        <v>143</v>
      </c>
      <c r="T64" s="84" t="s">
        <v>66</v>
      </c>
      <c r="U64" s="84"/>
      <c r="V64" s="84" t="str">
        <f t="shared" si="6"/>
        <v>308024133LRSCHERER-ECOS3%111.71875SCS ENGINEERING</v>
      </c>
    </row>
    <row r="65" spans="1:22" s="154" customFormat="1" ht="15" customHeight="1" x14ac:dyDescent="0.25">
      <c r="A65" s="106">
        <v>3080241</v>
      </c>
      <c r="B65" s="86" t="s">
        <v>153</v>
      </c>
      <c r="C65" s="86" t="s">
        <v>71</v>
      </c>
      <c r="D65" s="85" t="s">
        <v>72</v>
      </c>
      <c r="E65" s="85" t="s">
        <v>193</v>
      </c>
      <c r="F65" s="162">
        <v>3</v>
      </c>
      <c r="G65" s="85" t="s">
        <v>14</v>
      </c>
      <c r="H65" s="89">
        <f>SUMIFS($I$3:$I$87,$E$3:$E$87,$E65,$U$3:$U$87,"MARKUP",$S$3:$S$87,"REMOVAL")*0.01*Q65</f>
        <v>1370.7228125000004</v>
      </c>
      <c r="I65" s="89">
        <f t="shared" si="14"/>
        <v>4112.1684375000013</v>
      </c>
      <c r="J65" s="164" t="s">
        <v>88</v>
      </c>
      <c r="K65" s="85" t="s">
        <v>63</v>
      </c>
      <c r="L65" s="85" t="s">
        <v>63</v>
      </c>
      <c r="M65" s="85" t="str">
        <f>J65</f>
        <v>SCS ENGINEERING</v>
      </c>
      <c r="N65" s="225">
        <f t="shared" si="4"/>
        <v>1370.7228125000004</v>
      </c>
      <c r="O65" s="226">
        <f t="shared" si="5"/>
        <v>4112.1684375000013</v>
      </c>
      <c r="P65" s="88" t="s">
        <v>73</v>
      </c>
      <c r="Q65" s="147">
        <v>6.25E-2</v>
      </c>
      <c r="R65" s="143" t="s">
        <v>237</v>
      </c>
      <c r="S65" s="96" t="s">
        <v>143</v>
      </c>
      <c r="T65" s="84" t="s">
        <v>66</v>
      </c>
      <c r="U65" s="84"/>
      <c r="V65" s="84" t="str">
        <f t="shared" si="6"/>
        <v>3080241CCLRSCHERER-NON3%1370.7228125SCS ENGINEERING</v>
      </c>
    </row>
    <row r="66" spans="1:22" s="154" customFormat="1" ht="15" customHeight="1" x14ac:dyDescent="0.25">
      <c r="A66" s="85" t="s">
        <v>83</v>
      </c>
      <c r="B66" s="86" t="s">
        <v>155</v>
      </c>
      <c r="C66" s="86" t="s">
        <v>71</v>
      </c>
      <c r="D66" s="85" t="s">
        <v>72</v>
      </c>
      <c r="E66" s="85" t="s">
        <v>193</v>
      </c>
      <c r="F66" s="87">
        <f>44*Q66</f>
        <v>2.75</v>
      </c>
      <c r="G66" s="85" t="s">
        <v>75</v>
      </c>
      <c r="H66" s="89">
        <v>50750.31</v>
      </c>
      <c r="I66" s="89">
        <f t="shared" si="14"/>
        <v>139563.35249999998</v>
      </c>
      <c r="J66" s="85" t="s">
        <v>84</v>
      </c>
      <c r="K66" s="85" t="s">
        <v>63</v>
      </c>
      <c r="L66" s="85" t="s">
        <v>63</v>
      </c>
      <c r="M66" s="85" t="str">
        <f>J66</f>
        <v>SECURITY SERVICES</v>
      </c>
      <c r="N66" s="225">
        <f t="shared" si="4"/>
        <v>50750.31</v>
      </c>
      <c r="O66" s="226">
        <f t="shared" si="5"/>
        <v>139563.35249999998</v>
      </c>
      <c r="P66" s="88" t="s">
        <v>73</v>
      </c>
      <c r="Q66" s="147">
        <v>6.25E-2</v>
      </c>
      <c r="R66" s="143" t="s">
        <v>237</v>
      </c>
      <c r="S66" s="96" t="s">
        <v>143</v>
      </c>
      <c r="T66" s="84" t="s">
        <v>66</v>
      </c>
      <c r="U66" s="84"/>
      <c r="V66" s="84" t="str">
        <f t="shared" si="6"/>
        <v>3070221CCLRSCHERER-NON2.75MY50750.31SECURITY SERVICES</v>
      </c>
    </row>
    <row r="67" spans="1:22" s="154" customFormat="1" ht="15" customHeight="1" x14ac:dyDescent="0.25">
      <c r="A67" s="100" t="s">
        <v>115</v>
      </c>
      <c r="B67" s="86" t="s">
        <v>158</v>
      </c>
      <c r="C67" s="101" t="s">
        <v>149</v>
      </c>
      <c r="D67" s="102" t="s">
        <v>69</v>
      </c>
      <c r="E67" s="102" t="s">
        <v>298</v>
      </c>
      <c r="F67" s="126">
        <f>'Scherer Data'!$D$44/4*Q67</f>
        <v>0.125</v>
      </c>
      <c r="G67" s="102" t="s">
        <v>42</v>
      </c>
      <c r="H67" s="229">
        <f>'Scherer Data'!$E$44</f>
        <v>550000</v>
      </c>
      <c r="I67" s="230">
        <f>'Scherer Data'!$F$44/4*Q67</f>
        <v>68750</v>
      </c>
      <c r="J67" s="102" t="s">
        <v>192</v>
      </c>
      <c r="K67" s="102"/>
      <c r="L67" s="102"/>
      <c r="M67" s="102" t="s">
        <v>301</v>
      </c>
      <c r="N67" s="225">
        <f t="shared" si="4"/>
        <v>550000</v>
      </c>
      <c r="O67" s="226">
        <f t="shared" si="5"/>
        <v>68750</v>
      </c>
      <c r="P67" s="232" t="s">
        <v>65</v>
      </c>
      <c r="Q67" s="147">
        <v>0.25</v>
      </c>
      <c r="R67" s="143" t="s">
        <v>237</v>
      </c>
      <c r="S67" s="96" t="s">
        <v>143</v>
      </c>
      <c r="T67" s="232" t="s">
        <v>82</v>
      </c>
      <c r="U67" s="232" t="s">
        <v>99</v>
      </c>
      <c r="V67" s="84" t="str">
        <f t="shared" si="6"/>
        <v>312UND33LRSCHERER-ECOF0.125ea550000SO2 SCRUBBER - 2 (ea) Stacks</v>
      </c>
    </row>
    <row r="68" spans="1:22" s="154" customFormat="1" ht="15" customHeight="1" x14ac:dyDescent="0.25">
      <c r="A68" s="100" t="s">
        <v>115</v>
      </c>
      <c r="B68" s="86" t="s">
        <v>158</v>
      </c>
      <c r="C68" s="101" t="s">
        <v>149</v>
      </c>
      <c r="D68" s="102" t="s">
        <v>69</v>
      </c>
      <c r="E68" s="102" t="s">
        <v>298</v>
      </c>
      <c r="F68" s="115">
        <f>'Scherer Data'!$D$42/4*Q68</f>
        <v>314</v>
      </c>
      <c r="G68" s="102" t="s">
        <v>33</v>
      </c>
      <c r="H68" s="229">
        <f>'Scherer Data'!$E$42</f>
        <v>275.50799999999998</v>
      </c>
      <c r="I68" s="230">
        <f>'Scherer Data'!$F$42/4*Q68</f>
        <v>81640</v>
      </c>
      <c r="J68" s="102" t="s">
        <v>140</v>
      </c>
      <c r="K68" s="102"/>
      <c r="L68" s="102"/>
      <c r="M68" s="102" t="s">
        <v>301</v>
      </c>
      <c r="N68" s="225">
        <f t="shared" ref="N68:N87" si="15">H68</f>
        <v>275.50799999999998</v>
      </c>
      <c r="O68" s="226">
        <f t="shared" ref="O68:O87" si="16">I68</f>
        <v>81640</v>
      </c>
      <c r="P68" s="232" t="s">
        <v>65</v>
      </c>
      <c r="Q68" s="147">
        <v>0.25</v>
      </c>
      <c r="R68" s="143" t="s">
        <v>237</v>
      </c>
      <c r="S68" s="96" t="s">
        <v>143</v>
      </c>
      <c r="T68" s="232" t="s">
        <v>82</v>
      </c>
      <c r="U68" s="232" t="s">
        <v>99</v>
      </c>
      <c r="V68" s="84" t="str">
        <f t="shared" ref="V68:V87" si="17">A68&amp;C68&amp;D68&amp;E68&amp;F68&amp;G68&amp;H68&amp;J68</f>
        <v>312UND33LRSCHERER-ECOF314nt275.508SO2 SCRUBBER - Demo FE</v>
      </c>
    </row>
    <row r="69" spans="1:22" s="154" customFormat="1" ht="15" customHeight="1" x14ac:dyDescent="0.25">
      <c r="A69" s="100" t="s">
        <v>115</v>
      </c>
      <c r="B69" s="86" t="s">
        <v>158</v>
      </c>
      <c r="C69" s="101" t="s">
        <v>149</v>
      </c>
      <c r="D69" s="102" t="s">
        <v>133</v>
      </c>
      <c r="E69" s="102" t="s">
        <v>298</v>
      </c>
      <c r="F69" s="115">
        <f>'Scherer Data'!$D$43/4*Q69</f>
        <v>314</v>
      </c>
      <c r="G69" s="102" t="s">
        <v>33</v>
      </c>
      <c r="H69" s="229">
        <f>'Scherer Data'!$E$43</f>
        <v>-108.3695731319762</v>
      </c>
      <c r="I69" s="230">
        <f>'Scherer Data'!$F$43/4*Q69</f>
        <v>-34028.045963440527</v>
      </c>
      <c r="J69" s="102" t="s">
        <v>141</v>
      </c>
      <c r="K69" s="85" t="s">
        <v>110</v>
      </c>
      <c r="L69" s="102"/>
      <c r="M69" s="102" t="s">
        <v>301</v>
      </c>
      <c r="N69" s="225">
        <f t="shared" si="15"/>
        <v>-108.3695731319762</v>
      </c>
      <c r="O69" s="226">
        <f t="shared" si="16"/>
        <v>-34028.045963440527</v>
      </c>
      <c r="P69" s="232" t="s">
        <v>65</v>
      </c>
      <c r="Q69" s="147">
        <v>0.25</v>
      </c>
      <c r="R69" s="143" t="s">
        <v>237</v>
      </c>
      <c r="S69" s="96" t="s">
        <v>145</v>
      </c>
      <c r="T69" s="232" t="s">
        <v>82</v>
      </c>
      <c r="U69" s="232" t="s">
        <v>99</v>
      </c>
      <c r="V69" s="84" t="str">
        <f t="shared" si="17"/>
        <v>312UND33MSSCHERER-ECOF314nt-108.369573131976SO2 SCRUBBER - FE Sales</v>
      </c>
    </row>
    <row r="70" spans="1:22" s="154" customFormat="1" ht="15" customHeight="1" x14ac:dyDescent="0.25">
      <c r="A70" s="85" t="s">
        <v>89</v>
      </c>
      <c r="B70" s="86" t="s">
        <v>153</v>
      </c>
      <c r="C70" s="86" t="s">
        <v>71</v>
      </c>
      <c r="D70" s="85" t="s">
        <v>72</v>
      </c>
      <c r="E70" s="85" t="s">
        <v>193</v>
      </c>
      <c r="F70" s="87">
        <f>1*Q70</f>
        <v>6.25E-2</v>
      </c>
      <c r="G70" s="85" t="s">
        <v>21</v>
      </c>
      <c r="H70" s="89">
        <f>'Scherer Data'!$E$7</f>
        <v>50000</v>
      </c>
      <c r="I70" s="187">
        <f>'Scherer Data'!$F$7*Q70</f>
        <v>3125</v>
      </c>
      <c r="J70" s="85" t="s">
        <v>23</v>
      </c>
      <c r="K70" s="85" t="s">
        <v>63</v>
      </c>
      <c r="L70" s="85" t="s">
        <v>63</v>
      </c>
      <c r="M70" s="85" t="str">
        <f>J70</f>
        <v>Storm Water Prevention Plan</v>
      </c>
      <c r="N70" s="225">
        <f t="shared" si="15"/>
        <v>50000</v>
      </c>
      <c r="O70" s="226">
        <f t="shared" si="16"/>
        <v>3125</v>
      </c>
      <c r="P70" s="88" t="s">
        <v>73</v>
      </c>
      <c r="Q70" s="147">
        <v>6.25E-2</v>
      </c>
      <c r="R70" s="143" t="s">
        <v>237</v>
      </c>
      <c r="S70" s="96" t="s">
        <v>143</v>
      </c>
      <c r="T70" s="84" t="s">
        <v>82</v>
      </c>
      <c r="U70" s="84"/>
      <c r="V70" s="84" t="str">
        <f t="shared" si="17"/>
        <v>3080241SWCCLRSCHERER-NON0.0625ls50000Storm Water Prevention Plan</v>
      </c>
    </row>
    <row r="71" spans="1:22" s="154" customFormat="1" ht="15" customHeight="1" x14ac:dyDescent="0.25">
      <c r="A71" s="85" t="s">
        <v>77</v>
      </c>
      <c r="B71" s="86" t="s">
        <v>155</v>
      </c>
      <c r="C71" s="86" t="s">
        <v>71</v>
      </c>
      <c r="D71" s="85" t="s">
        <v>72</v>
      </c>
      <c r="E71" s="102" t="s">
        <v>194</v>
      </c>
      <c r="F71" s="87">
        <v>2</v>
      </c>
      <c r="G71" s="85" t="s">
        <v>14</v>
      </c>
      <c r="H71" s="104">
        <f>SUMIFS($I$3:$I$87,$E$3:$E$87,$E71,$U$3:$U$87,"MARKUP",$S$3:$S$87,"REMOVAL")*0.01*Q71</f>
        <v>108.75</v>
      </c>
      <c r="I71" s="89">
        <f>F71*H71</f>
        <v>217.5</v>
      </c>
      <c r="J71" s="105" t="s">
        <v>78</v>
      </c>
      <c r="K71" s="85" t="s">
        <v>63</v>
      </c>
      <c r="L71" s="85" t="s">
        <v>63</v>
      </c>
      <c r="M71" s="85" t="s">
        <v>195</v>
      </c>
      <c r="N71" s="225">
        <f t="shared" si="15"/>
        <v>108.75</v>
      </c>
      <c r="O71" s="226">
        <f t="shared" si="16"/>
        <v>217.5</v>
      </c>
      <c r="P71" s="88" t="s">
        <v>65</v>
      </c>
      <c r="Q71" s="147">
        <v>6.25E-2</v>
      </c>
      <c r="R71" s="143" t="s">
        <v>237</v>
      </c>
      <c r="S71" s="96" t="s">
        <v>143</v>
      </c>
      <c r="T71" s="84" t="s">
        <v>66</v>
      </c>
      <c r="U71" s="84"/>
      <c r="V71" s="84" t="str">
        <f t="shared" si="17"/>
        <v>3070201CCLRSCHERER-ECO2%108.75TEMPORARY CONSTRUCTION SERVICES</v>
      </c>
    </row>
    <row r="72" spans="1:22" s="154" customFormat="1" ht="15" customHeight="1" x14ac:dyDescent="0.25">
      <c r="A72" s="85" t="s">
        <v>77</v>
      </c>
      <c r="B72" s="86" t="s">
        <v>155</v>
      </c>
      <c r="C72" s="86" t="s">
        <v>149</v>
      </c>
      <c r="D72" s="85" t="s">
        <v>69</v>
      </c>
      <c r="E72" s="102" t="s">
        <v>297</v>
      </c>
      <c r="F72" s="87">
        <v>2</v>
      </c>
      <c r="G72" s="85" t="s">
        <v>14</v>
      </c>
      <c r="H72" s="104">
        <f>SUMIFS($I$3:$I$87,$E$3:$E$87,$E72,$U$3:$U$87,"MARKUP",$S$3:$S$87,"REMOVAL")*0.01*Q72</f>
        <v>81.5625</v>
      </c>
      <c r="I72" s="89">
        <f>F72*H72</f>
        <v>163.125</v>
      </c>
      <c r="J72" s="105" t="s">
        <v>78</v>
      </c>
      <c r="K72" s="85" t="s">
        <v>63</v>
      </c>
      <c r="L72" s="85" t="s">
        <v>63</v>
      </c>
      <c r="M72" s="102" t="s">
        <v>300</v>
      </c>
      <c r="N72" s="225">
        <f t="shared" si="15"/>
        <v>81.5625</v>
      </c>
      <c r="O72" s="226">
        <f t="shared" si="16"/>
        <v>163.125</v>
      </c>
      <c r="P72" s="88" t="s">
        <v>65</v>
      </c>
      <c r="Q72" s="147">
        <v>6.25E-2</v>
      </c>
      <c r="R72" s="143" t="s">
        <v>237</v>
      </c>
      <c r="S72" s="96" t="s">
        <v>143</v>
      </c>
      <c r="T72" s="84" t="s">
        <v>66</v>
      </c>
      <c r="U72" s="84"/>
      <c r="V72" s="84" t="str">
        <f t="shared" si="17"/>
        <v>307020133LRSCHERER-ECOB2%81.5625TEMPORARY CONSTRUCTION SERVICES</v>
      </c>
    </row>
    <row r="73" spans="1:22" s="154" customFormat="1" ht="15" customHeight="1" x14ac:dyDescent="0.25">
      <c r="A73" s="85" t="s">
        <v>77</v>
      </c>
      <c r="B73" s="86" t="s">
        <v>155</v>
      </c>
      <c r="C73" s="101" t="s">
        <v>149</v>
      </c>
      <c r="D73" s="85" t="s">
        <v>69</v>
      </c>
      <c r="E73" s="102" t="s">
        <v>298</v>
      </c>
      <c r="F73" s="87">
        <v>2</v>
      </c>
      <c r="G73" s="85" t="s">
        <v>14</v>
      </c>
      <c r="H73" s="104">
        <f>SUMIFS($I$3:$I$87,$E$3:$E$87,$E73,$U$3:$U$87,"MARKUP",$S$3:$S$87,"REMOVAL")*0.01*Q73</f>
        <v>93.993750000000006</v>
      </c>
      <c r="I73" s="89">
        <f>F73*H73</f>
        <v>187.98750000000001</v>
      </c>
      <c r="J73" s="105" t="s">
        <v>78</v>
      </c>
      <c r="K73" s="85" t="s">
        <v>63</v>
      </c>
      <c r="L73" s="85" t="s">
        <v>63</v>
      </c>
      <c r="M73" s="102" t="s">
        <v>301</v>
      </c>
      <c r="N73" s="225">
        <f t="shared" si="15"/>
        <v>93.993750000000006</v>
      </c>
      <c r="O73" s="226">
        <f t="shared" si="16"/>
        <v>187.98750000000001</v>
      </c>
      <c r="P73" s="88" t="s">
        <v>65</v>
      </c>
      <c r="Q73" s="147">
        <v>6.25E-2</v>
      </c>
      <c r="R73" s="143" t="s">
        <v>237</v>
      </c>
      <c r="S73" s="96" t="s">
        <v>143</v>
      </c>
      <c r="T73" s="84" t="s">
        <v>66</v>
      </c>
      <c r="U73" s="84"/>
      <c r="V73" s="84" t="str">
        <f t="shared" si="17"/>
        <v>307020133LRSCHERER-ECOF2%93.99375TEMPORARY CONSTRUCTION SERVICES</v>
      </c>
    </row>
    <row r="74" spans="1:22" s="154" customFormat="1" ht="15" customHeight="1" x14ac:dyDescent="0.25">
      <c r="A74" s="85" t="s">
        <v>77</v>
      </c>
      <c r="B74" s="86" t="s">
        <v>155</v>
      </c>
      <c r="C74" s="101" t="s">
        <v>149</v>
      </c>
      <c r="D74" s="85" t="s">
        <v>69</v>
      </c>
      <c r="E74" s="102" t="s">
        <v>299</v>
      </c>
      <c r="F74" s="87">
        <v>2</v>
      </c>
      <c r="G74" s="85" t="s">
        <v>14</v>
      </c>
      <c r="H74" s="104">
        <f>SUMIFS($I$3:$I$87,$E$3:$E$87,$E74,$U$3:$U$87,"MARKUP",$S$3:$S$87,"REMOVAL")*0.01*Q74</f>
        <v>111.71875</v>
      </c>
      <c r="I74" s="89">
        <f>F74*H74</f>
        <v>223.4375</v>
      </c>
      <c r="J74" s="105" t="s">
        <v>78</v>
      </c>
      <c r="K74" s="85" t="s">
        <v>63</v>
      </c>
      <c r="L74" s="85" t="s">
        <v>63</v>
      </c>
      <c r="M74" s="102" t="s">
        <v>302</v>
      </c>
      <c r="N74" s="225">
        <f t="shared" si="15"/>
        <v>111.71875</v>
      </c>
      <c r="O74" s="226">
        <f t="shared" si="16"/>
        <v>223.4375</v>
      </c>
      <c r="P74" s="88" t="s">
        <v>65</v>
      </c>
      <c r="Q74" s="147">
        <v>6.25E-2</v>
      </c>
      <c r="R74" s="143" t="s">
        <v>237</v>
      </c>
      <c r="S74" s="96" t="s">
        <v>143</v>
      </c>
      <c r="T74" s="84" t="s">
        <v>66</v>
      </c>
      <c r="U74" s="84"/>
      <c r="V74" s="84" t="str">
        <f t="shared" si="17"/>
        <v>307020133LRSCHERER-ECOS2%111.71875TEMPORARY CONSTRUCTION SERVICES</v>
      </c>
    </row>
    <row r="75" spans="1:22" s="154" customFormat="1" ht="15" customHeight="1" x14ac:dyDescent="0.25">
      <c r="A75" s="85" t="s">
        <v>77</v>
      </c>
      <c r="B75" s="86" t="s">
        <v>155</v>
      </c>
      <c r="C75" s="86" t="s">
        <v>71</v>
      </c>
      <c r="D75" s="85" t="s">
        <v>72</v>
      </c>
      <c r="E75" s="85" t="s">
        <v>193</v>
      </c>
      <c r="F75" s="87">
        <v>2</v>
      </c>
      <c r="G75" s="85" t="s">
        <v>14</v>
      </c>
      <c r="H75" s="104">
        <f>SUMIFS($I$3:$I$87,$E$3:$E$87,$E75,$U$3:$U$87,"MARKUP",$S$3:$S$87,"REMOVAL")*0.01*Q75</f>
        <v>1370.7228125000004</v>
      </c>
      <c r="I75" s="89">
        <f>F75*H75</f>
        <v>2741.4456250000007</v>
      </c>
      <c r="J75" s="105" t="s">
        <v>78</v>
      </c>
      <c r="K75" s="85" t="s">
        <v>63</v>
      </c>
      <c r="L75" s="85" t="s">
        <v>63</v>
      </c>
      <c r="M75" s="85" t="s">
        <v>195</v>
      </c>
      <c r="N75" s="225">
        <f t="shared" si="15"/>
        <v>1370.7228125000004</v>
      </c>
      <c r="O75" s="226">
        <f t="shared" si="16"/>
        <v>2741.4456250000007</v>
      </c>
      <c r="P75" s="88" t="s">
        <v>73</v>
      </c>
      <c r="Q75" s="147">
        <v>6.25E-2</v>
      </c>
      <c r="R75" s="143" t="s">
        <v>237</v>
      </c>
      <c r="S75" s="96" t="s">
        <v>143</v>
      </c>
      <c r="T75" s="84" t="s">
        <v>66</v>
      </c>
      <c r="U75" s="84"/>
      <c r="V75" s="84" t="str">
        <f t="shared" si="17"/>
        <v>3070201CCLRSCHERER-NON2%1370.7228125TEMPORARY CONSTRUCTION SERVICES</v>
      </c>
    </row>
    <row r="76" spans="1:22" s="154" customFormat="1" ht="15" customHeight="1" x14ac:dyDescent="0.25">
      <c r="A76" s="85" t="s">
        <v>106</v>
      </c>
      <c r="B76" s="86" t="s">
        <v>152</v>
      </c>
      <c r="C76" s="101" t="s">
        <v>149</v>
      </c>
      <c r="D76" s="85" t="s">
        <v>135</v>
      </c>
      <c r="E76" s="85" t="s">
        <v>193</v>
      </c>
      <c r="F76" s="92">
        <f>'Scherer Data'!$D$25/4*Q76</f>
        <v>130.83750000000001</v>
      </c>
      <c r="G76" s="85" t="s">
        <v>33</v>
      </c>
      <c r="H76" s="89">
        <f>'Scherer Data'!$E$25</f>
        <v>66.325999999999993</v>
      </c>
      <c r="I76" s="187">
        <f>'Scherer Data'!$F$25/4*Q76</f>
        <v>8504.4375</v>
      </c>
      <c r="J76" s="85" t="s">
        <v>41</v>
      </c>
      <c r="K76" s="85" t="s">
        <v>63</v>
      </c>
      <c r="L76" s="85" t="s">
        <v>63</v>
      </c>
      <c r="M76" s="85" t="str">
        <f>J76</f>
        <v>Transport &amp;  Dispose of Combustibles</v>
      </c>
      <c r="N76" s="225">
        <f t="shared" si="15"/>
        <v>66.325999999999993</v>
      </c>
      <c r="O76" s="226">
        <f t="shared" si="16"/>
        <v>8504.4375</v>
      </c>
      <c r="P76" s="88" t="s">
        <v>73</v>
      </c>
      <c r="Q76" s="147">
        <v>0.25</v>
      </c>
      <c r="R76" s="143" t="s">
        <v>237</v>
      </c>
      <c r="S76" s="96" t="s">
        <v>146</v>
      </c>
      <c r="T76" s="84" t="s">
        <v>82</v>
      </c>
      <c r="U76" s="84" t="s">
        <v>99</v>
      </c>
      <c r="V76" s="84" t="str">
        <f t="shared" si="17"/>
        <v>311UND33LDSCHERER-NON130.8375nt66.326Transport &amp;  Dispose of Combustibles</v>
      </c>
    </row>
    <row r="77" spans="1:22" s="154" customFormat="1" ht="15" customHeight="1" x14ac:dyDescent="0.25">
      <c r="A77" s="85" t="s">
        <v>132</v>
      </c>
      <c r="B77" s="86" t="s">
        <v>157</v>
      </c>
      <c r="C77" s="86" t="s">
        <v>71</v>
      </c>
      <c r="D77" s="85" t="s">
        <v>105</v>
      </c>
      <c r="E77" s="85" t="s">
        <v>193</v>
      </c>
      <c r="F77" s="92">
        <f>'Scherer Data'!$D$53*Q77</f>
        <v>21.875</v>
      </c>
      <c r="G77" s="85" t="s">
        <v>33</v>
      </c>
      <c r="H77" s="89">
        <f>'Scherer Data'!$E$53</f>
        <v>66.325999999999993</v>
      </c>
      <c r="I77" s="187">
        <f>'Scherer Data'!$F$53*Q77</f>
        <v>1421.875</v>
      </c>
      <c r="J77" s="85" t="s">
        <v>41</v>
      </c>
      <c r="K77" s="85" t="s">
        <v>63</v>
      </c>
      <c r="L77" s="85" t="s">
        <v>63</v>
      </c>
      <c r="M77" s="85" t="str">
        <f>J77</f>
        <v>Transport &amp;  Dispose of Combustibles</v>
      </c>
      <c r="N77" s="225">
        <f t="shared" si="15"/>
        <v>66.325999999999993</v>
      </c>
      <c r="O77" s="226">
        <f t="shared" si="16"/>
        <v>1421.875</v>
      </c>
      <c r="P77" s="88" t="s">
        <v>73</v>
      </c>
      <c r="Q77" s="147">
        <v>6.25E-2</v>
      </c>
      <c r="R77" s="143" t="s">
        <v>237</v>
      </c>
      <c r="S77" s="96" t="s">
        <v>146</v>
      </c>
      <c r="T77" s="84" t="s">
        <v>82</v>
      </c>
      <c r="U77" s="84" t="s">
        <v>99</v>
      </c>
      <c r="V77" s="84" t="str">
        <f t="shared" si="17"/>
        <v>341UNDCCLDSCHERER-NON21.875nt66.326Transport &amp;  Dispose of Combustibles</v>
      </c>
    </row>
    <row r="78" spans="1:22" s="154" customFormat="1" ht="15" customHeight="1" x14ac:dyDescent="0.25">
      <c r="A78" s="85" t="s">
        <v>127</v>
      </c>
      <c r="B78" s="86" t="s">
        <v>160</v>
      </c>
      <c r="C78" s="101" t="s">
        <v>149</v>
      </c>
      <c r="D78" s="85" t="s">
        <v>133</v>
      </c>
      <c r="E78" s="85" t="s">
        <v>193</v>
      </c>
      <c r="F78" s="92">
        <f>'Scherer Data'!$D$30/4*Q78</f>
        <v>222935.00235849054</v>
      </c>
      <c r="G78" s="85" t="s">
        <v>36</v>
      </c>
      <c r="H78" s="89">
        <f>'Scherer Data'!$E$30</f>
        <v>-0.31414430979039298</v>
      </c>
      <c r="I78" s="187">
        <f>'Scherer Data'!$F$30/4*Q78</f>
        <v>-70033.762444027641</v>
      </c>
      <c r="J78" s="85" t="s">
        <v>128</v>
      </c>
      <c r="K78" s="85" t="s">
        <v>119</v>
      </c>
      <c r="L78" s="85" t="s">
        <v>129</v>
      </c>
      <c r="M78" s="85" t="s">
        <v>296</v>
      </c>
      <c r="N78" s="225">
        <f t="shared" si="15"/>
        <v>-0.31414430979039298</v>
      </c>
      <c r="O78" s="226">
        <f t="shared" si="16"/>
        <v>-70033.762444027641</v>
      </c>
      <c r="P78" s="88" t="s">
        <v>73</v>
      </c>
      <c r="Q78" s="147">
        <v>0.25</v>
      </c>
      <c r="R78" s="143" t="s">
        <v>237</v>
      </c>
      <c r="S78" s="96" t="s">
        <v>145</v>
      </c>
      <c r="T78" s="84" t="s">
        <v>82</v>
      </c>
      <c r="U78" s="84" t="s">
        <v>99</v>
      </c>
      <c r="V78" s="84" t="str">
        <f t="shared" si="17"/>
        <v>315UND33MSSCHERER-NON222935.002358491lbs-0.314144309790393Unit &amp; Service Transformers - CU Sales</v>
      </c>
    </row>
    <row r="79" spans="1:22" s="154" customFormat="1" ht="15" customHeight="1" x14ac:dyDescent="0.25">
      <c r="A79" s="85" t="s">
        <v>127</v>
      </c>
      <c r="B79" s="86" t="s">
        <v>160</v>
      </c>
      <c r="C79" s="101" t="s">
        <v>149</v>
      </c>
      <c r="D79" s="85" t="s">
        <v>69</v>
      </c>
      <c r="E79" s="85" t="s">
        <v>193</v>
      </c>
      <c r="F79" s="92">
        <f>'Scherer Data'!$D$29/4*Q79</f>
        <v>179.0235625</v>
      </c>
      <c r="G79" s="85" t="s">
        <v>33</v>
      </c>
      <c r="H79" s="89">
        <f>'Scherer Data'!$E$29</f>
        <v>255.1</v>
      </c>
      <c r="I79" s="187">
        <f>'Scherer Data'!$F$29/4*Q79</f>
        <v>45668.910793750001</v>
      </c>
      <c r="J79" s="85" t="s">
        <v>130</v>
      </c>
      <c r="K79" s="85" t="s">
        <v>63</v>
      </c>
      <c r="L79" s="85" t="s">
        <v>129</v>
      </c>
      <c r="M79" s="85" t="str">
        <f>J79</f>
        <v>Unit &amp; Service Transformers - Demo</v>
      </c>
      <c r="N79" s="225">
        <f t="shared" si="15"/>
        <v>255.1</v>
      </c>
      <c r="O79" s="226">
        <f t="shared" si="16"/>
        <v>45668.910793750001</v>
      </c>
      <c r="P79" s="88" t="s">
        <v>73</v>
      </c>
      <c r="Q79" s="147">
        <v>0.25</v>
      </c>
      <c r="R79" s="143" t="s">
        <v>237</v>
      </c>
      <c r="S79" s="96" t="s">
        <v>143</v>
      </c>
      <c r="T79" s="84" t="s">
        <v>82</v>
      </c>
      <c r="U79" s="84" t="s">
        <v>99</v>
      </c>
      <c r="V79" s="84" t="str">
        <f t="shared" si="17"/>
        <v>315UND33LRSCHERER-NON179.0235625nt255.1Unit &amp; Service Transformers - Demo</v>
      </c>
    </row>
    <row r="80" spans="1:22" s="154" customFormat="1" ht="15" customHeight="1" x14ac:dyDescent="0.25">
      <c r="A80" s="85" t="s">
        <v>127</v>
      </c>
      <c r="B80" s="86" t="s">
        <v>160</v>
      </c>
      <c r="C80" s="101" t="s">
        <v>149</v>
      </c>
      <c r="D80" s="85" t="s">
        <v>133</v>
      </c>
      <c r="E80" s="85" t="s">
        <v>193</v>
      </c>
      <c r="F80" s="92">
        <f>'Scherer Data'!$D$31/4*Q80</f>
        <v>179.0235625</v>
      </c>
      <c r="G80" s="85" t="s">
        <v>33</v>
      </c>
      <c r="H80" s="89">
        <f>'Scherer Data'!$E$31</f>
        <v>-108.3695731319762</v>
      </c>
      <c r="I80" s="187">
        <f>'Scherer Data'!$F$31/4*Q80</f>
        <v>-19400.70704869066</v>
      </c>
      <c r="J80" s="85" t="s">
        <v>131</v>
      </c>
      <c r="K80" s="85" t="s">
        <v>110</v>
      </c>
      <c r="L80" s="85" t="s">
        <v>129</v>
      </c>
      <c r="M80" s="85" t="s">
        <v>296</v>
      </c>
      <c r="N80" s="225">
        <f t="shared" si="15"/>
        <v>-108.3695731319762</v>
      </c>
      <c r="O80" s="226">
        <f t="shared" si="16"/>
        <v>-19400.70704869066</v>
      </c>
      <c r="P80" s="88" t="s">
        <v>73</v>
      </c>
      <c r="Q80" s="147">
        <v>0.25</v>
      </c>
      <c r="R80" s="143" t="s">
        <v>237</v>
      </c>
      <c r="S80" s="96" t="s">
        <v>145</v>
      </c>
      <c r="T80" s="84" t="s">
        <v>82</v>
      </c>
      <c r="U80" s="84" t="s">
        <v>99</v>
      </c>
      <c r="V80" s="84" t="str">
        <f t="shared" si="17"/>
        <v>315UND33MSSCHERER-NON179.0235625nt-108.369573131976Unit &amp; Service Transformers - FE Sales</v>
      </c>
    </row>
    <row r="81" spans="1:22" s="154" customFormat="1" ht="15" customHeight="1" x14ac:dyDescent="0.25">
      <c r="A81" s="85" t="s">
        <v>137</v>
      </c>
      <c r="B81" s="86" t="s">
        <v>156</v>
      </c>
      <c r="C81" s="101" t="s">
        <v>149</v>
      </c>
      <c r="D81" s="85" t="s">
        <v>135</v>
      </c>
      <c r="E81" s="85" t="s">
        <v>193</v>
      </c>
      <c r="F81" s="92">
        <f>'Scherer Data'!$D$59/4*Q81</f>
        <v>6.25E-2</v>
      </c>
      <c r="G81" s="85" t="s">
        <v>21</v>
      </c>
      <c r="H81" s="89">
        <f>'Scherer Data'!$E$59</f>
        <v>186080</v>
      </c>
      <c r="I81" s="187">
        <f>'Scherer Data'!$F$59/4*Q81</f>
        <v>11630</v>
      </c>
      <c r="J81" s="85" t="s">
        <v>49</v>
      </c>
      <c r="K81" s="85" t="s">
        <v>63</v>
      </c>
      <c r="L81" s="85" t="s">
        <v>63</v>
      </c>
      <c r="M81" s="85" t="str">
        <f>J81</f>
        <v>Universal Wastes, Grease &amp; Oil Removal</v>
      </c>
      <c r="N81" s="225">
        <f t="shared" si="15"/>
        <v>186080</v>
      </c>
      <c r="O81" s="226">
        <f t="shared" si="16"/>
        <v>11630</v>
      </c>
      <c r="P81" s="88" t="s">
        <v>73</v>
      </c>
      <c r="Q81" s="147">
        <v>0.25</v>
      </c>
      <c r="R81" s="143" t="s">
        <v>237</v>
      </c>
      <c r="S81" s="96" t="s">
        <v>146</v>
      </c>
      <c r="T81" s="84" t="s">
        <v>82</v>
      </c>
      <c r="U81" s="84" t="s">
        <v>99</v>
      </c>
      <c r="V81" s="84" t="str">
        <f t="shared" si="17"/>
        <v>3430000FM33LDSCHERER-NON0.0625ls186080Universal Wastes, Grease &amp; Oil Removal</v>
      </c>
    </row>
    <row r="82" spans="1:22" s="154" customFormat="1" ht="15" customHeight="1" x14ac:dyDescent="0.25">
      <c r="A82" s="85" t="s">
        <v>106</v>
      </c>
      <c r="B82" s="86" t="s">
        <v>152</v>
      </c>
      <c r="C82" s="86" t="s">
        <v>71</v>
      </c>
      <c r="D82" s="85" t="s">
        <v>72</v>
      </c>
      <c r="E82" s="85" t="s">
        <v>193</v>
      </c>
      <c r="F82" s="151">
        <f>1*Q82</f>
        <v>6.25E-2</v>
      </c>
      <c r="G82" s="85" t="s">
        <v>21</v>
      </c>
      <c r="H82" s="89">
        <f>'Scherer Data'!$E$12</f>
        <v>250000</v>
      </c>
      <c r="I82" s="187">
        <f>'Scherer Data'!$F$12*Q82</f>
        <v>15625</v>
      </c>
      <c r="J82" s="85" t="s">
        <v>28</v>
      </c>
      <c r="K82" s="85" t="s">
        <v>63</v>
      </c>
      <c r="L82" s="85" t="s">
        <v>63</v>
      </c>
      <c r="M82" s="85" t="str">
        <f>J82</f>
        <v>Utility Disconnects</v>
      </c>
      <c r="N82" s="225">
        <f t="shared" si="15"/>
        <v>250000</v>
      </c>
      <c r="O82" s="226">
        <f t="shared" si="16"/>
        <v>15625</v>
      </c>
      <c r="P82" s="88" t="s">
        <v>73</v>
      </c>
      <c r="Q82" s="147">
        <v>6.25E-2</v>
      </c>
      <c r="R82" s="143" t="s">
        <v>237</v>
      </c>
      <c r="S82" s="96" t="s">
        <v>143</v>
      </c>
      <c r="T82" s="84" t="s">
        <v>82</v>
      </c>
      <c r="U82" s="84" t="s">
        <v>99</v>
      </c>
      <c r="V82" s="84" t="str">
        <f t="shared" si="17"/>
        <v>311UNDCCLRSCHERER-NON0.0625ls250000Utility Disconnects</v>
      </c>
    </row>
    <row r="83" spans="1:22" s="154" customFormat="1" ht="15" customHeight="1" x14ac:dyDescent="0.25">
      <c r="A83" s="85" t="s">
        <v>94</v>
      </c>
      <c r="B83" s="86" t="s">
        <v>153</v>
      </c>
      <c r="C83" s="86" t="s">
        <v>71</v>
      </c>
      <c r="D83" s="85" t="s">
        <v>72</v>
      </c>
      <c r="E83" s="102" t="s">
        <v>194</v>
      </c>
      <c r="F83" s="87">
        <v>0.6</v>
      </c>
      <c r="G83" s="85" t="s">
        <v>14</v>
      </c>
      <c r="H83" s="104">
        <f>SUMIFS($I$3:$I$87,$E$3:$E$87,$E83,$U$3:$U$87,"MARKUP",$S$3:$S$87,"REMOVAL")*0.01*Q83</f>
        <v>108.75</v>
      </c>
      <c r="I83" s="89">
        <f>F83*H83</f>
        <v>65.25</v>
      </c>
      <c r="J83" s="105" t="s">
        <v>95</v>
      </c>
      <c r="K83" s="85" t="s">
        <v>63</v>
      </c>
      <c r="L83" s="85" t="s">
        <v>63</v>
      </c>
      <c r="M83" s="85" t="str">
        <f>J83</f>
        <v>WRAP-UP AND ALL-RISK INSURANCE</v>
      </c>
      <c r="N83" s="225">
        <f t="shared" si="15"/>
        <v>108.75</v>
      </c>
      <c r="O83" s="226">
        <f t="shared" si="16"/>
        <v>65.25</v>
      </c>
      <c r="P83" s="88" t="s">
        <v>65</v>
      </c>
      <c r="Q83" s="147">
        <v>6.25E-2</v>
      </c>
      <c r="R83" s="143" t="s">
        <v>237</v>
      </c>
      <c r="S83" s="96" t="s">
        <v>143</v>
      </c>
      <c r="T83" s="84" t="s">
        <v>66</v>
      </c>
      <c r="U83" s="84"/>
      <c r="V83" s="84" t="str">
        <f t="shared" si="17"/>
        <v>3080361CCLRSCHERER-ECO0.6%108.75WRAP-UP AND ALL-RISK INSURANCE</v>
      </c>
    </row>
    <row r="84" spans="1:22" s="154" customFormat="1" ht="15" customHeight="1" x14ac:dyDescent="0.25">
      <c r="A84" s="85" t="s">
        <v>94</v>
      </c>
      <c r="B84" s="86" t="s">
        <v>153</v>
      </c>
      <c r="C84" s="86" t="s">
        <v>149</v>
      </c>
      <c r="D84" s="85" t="s">
        <v>69</v>
      </c>
      <c r="E84" s="102" t="s">
        <v>297</v>
      </c>
      <c r="F84" s="87">
        <v>0.6</v>
      </c>
      <c r="G84" s="85" t="s">
        <v>14</v>
      </c>
      <c r="H84" s="104">
        <f>SUMIFS($I$3:$I$87,$E$3:$E$87,$E84,$U$3:$U$87,"MARKUP",$S$3:$S$87,"REMOVAL")*0.01*Q84</f>
        <v>81.5625</v>
      </c>
      <c r="I84" s="89">
        <f>F84*H84</f>
        <v>48.9375</v>
      </c>
      <c r="J84" s="105" t="s">
        <v>95</v>
      </c>
      <c r="K84" s="85" t="s">
        <v>63</v>
      </c>
      <c r="L84" s="85" t="s">
        <v>63</v>
      </c>
      <c r="M84" s="102" t="s">
        <v>300</v>
      </c>
      <c r="N84" s="225">
        <f t="shared" si="15"/>
        <v>81.5625</v>
      </c>
      <c r="O84" s="226">
        <f t="shared" si="16"/>
        <v>48.9375</v>
      </c>
      <c r="P84" s="88" t="s">
        <v>65</v>
      </c>
      <c r="Q84" s="147">
        <v>6.25E-2</v>
      </c>
      <c r="R84" s="143" t="s">
        <v>237</v>
      </c>
      <c r="S84" s="96" t="s">
        <v>143</v>
      </c>
      <c r="T84" s="84" t="s">
        <v>66</v>
      </c>
      <c r="U84" s="84"/>
      <c r="V84" s="84" t="str">
        <f t="shared" si="17"/>
        <v>308036133LRSCHERER-ECOB0.6%81.5625WRAP-UP AND ALL-RISK INSURANCE</v>
      </c>
    </row>
    <row r="85" spans="1:22" s="154" customFormat="1" ht="15" customHeight="1" x14ac:dyDescent="0.25">
      <c r="A85" s="85" t="s">
        <v>94</v>
      </c>
      <c r="B85" s="86" t="s">
        <v>153</v>
      </c>
      <c r="C85" s="101" t="s">
        <v>149</v>
      </c>
      <c r="D85" s="85" t="s">
        <v>69</v>
      </c>
      <c r="E85" s="102" t="s">
        <v>298</v>
      </c>
      <c r="F85" s="87">
        <v>0.6</v>
      </c>
      <c r="G85" s="85" t="s">
        <v>14</v>
      </c>
      <c r="H85" s="104">
        <f>SUMIFS($I$3:$I$87,$E$3:$E$87,$E85,$U$3:$U$87,"MARKUP",$S$3:$S$87,"REMOVAL")*0.01*Q85</f>
        <v>93.993750000000006</v>
      </c>
      <c r="I85" s="89">
        <f>F85*H85</f>
        <v>56.396250000000002</v>
      </c>
      <c r="J85" s="105" t="s">
        <v>95</v>
      </c>
      <c r="K85" s="85" t="s">
        <v>63</v>
      </c>
      <c r="L85" s="85" t="s">
        <v>63</v>
      </c>
      <c r="M85" s="102" t="s">
        <v>301</v>
      </c>
      <c r="N85" s="225">
        <f t="shared" si="15"/>
        <v>93.993750000000006</v>
      </c>
      <c r="O85" s="226">
        <f t="shared" si="16"/>
        <v>56.396250000000002</v>
      </c>
      <c r="P85" s="88" t="s">
        <v>65</v>
      </c>
      <c r="Q85" s="147">
        <v>6.25E-2</v>
      </c>
      <c r="R85" s="143" t="s">
        <v>237</v>
      </c>
      <c r="S85" s="96" t="s">
        <v>143</v>
      </c>
      <c r="T85" s="84" t="s">
        <v>66</v>
      </c>
      <c r="U85" s="84"/>
      <c r="V85" s="84" t="str">
        <f t="shared" si="17"/>
        <v>308036133LRSCHERER-ECOF0.6%93.99375WRAP-UP AND ALL-RISK INSURANCE</v>
      </c>
    </row>
    <row r="86" spans="1:22" s="154" customFormat="1" ht="15" customHeight="1" x14ac:dyDescent="0.25">
      <c r="A86" s="85" t="s">
        <v>94</v>
      </c>
      <c r="B86" s="86" t="s">
        <v>153</v>
      </c>
      <c r="C86" s="101" t="s">
        <v>149</v>
      </c>
      <c r="D86" s="85" t="s">
        <v>69</v>
      </c>
      <c r="E86" s="102" t="s">
        <v>299</v>
      </c>
      <c r="F86" s="87">
        <v>0.6</v>
      </c>
      <c r="G86" s="85" t="s">
        <v>14</v>
      </c>
      <c r="H86" s="104">
        <f>SUMIFS($I$3:$I$87,$E$3:$E$87,$E86,$U$3:$U$87,"MARKUP",$S$3:$S$87,"REMOVAL")*0.01*Q86</f>
        <v>111.71875</v>
      </c>
      <c r="I86" s="89">
        <f>F86*H86</f>
        <v>67.03125</v>
      </c>
      <c r="J86" s="105" t="s">
        <v>95</v>
      </c>
      <c r="K86" s="85" t="s">
        <v>63</v>
      </c>
      <c r="L86" s="85" t="s">
        <v>63</v>
      </c>
      <c r="M86" s="102" t="s">
        <v>302</v>
      </c>
      <c r="N86" s="225">
        <f t="shared" si="15"/>
        <v>111.71875</v>
      </c>
      <c r="O86" s="226">
        <f t="shared" si="16"/>
        <v>67.03125</v>
      </c>
      <c r="P86" s="88" t="s">
        <v>65</v>
      </c>
      <c r="Q86" s="147">
        <v>6.25E-2</v>
      </c>
      <c r="R86" s="143" t="s">
        <v>237</v>
      </c>
      <c r="S86" s="96" t="s">
        <v>143</v>
      </c>
      <c r="T86" s="84" t="s">
        <v>66</v>
      </c>
      <c r="U86" s="84"/>
      <c r="V86" s="84" t="str">
        <f t="shared" si="17"/>
        <v>308036133LRSCHERER-ECOS0.6%111.71875WRAP-UP AND ALL-RISK INSURANCE</v>
      </c>
    </row>
    <row r="87" spans="1:22" s="154" customFormat="1" ht="15" customHeight="1" x14ac:dyDescent="0.25">
      <c r="A87" s="85" t="s">
        <v>94</v>
      </c>
      <c r="B87" s="86" t="s">
        <v>153</v>
      </c>
      <c r="C87" s="86" t="s">
        <v>71</v>
      </c>
      <c r="D87" s="85" t="s">
        <v>72</v>
      </c>
      <c r="E87" s="85" t="s">
        <v>193</v>
      </c>
      <c r="F87" s="87">
        <v>0.6</v>
      </c>
      <c r="G87" s="85" t="s">
        <v>14</v>
      </c>
      <c r="H87" s="104">
        <f>SUMIFS($I$3:$I$87,$E$3:$E$87,$E87,$U$3:$U$87,"MARKUP",$S$3:$S$87,"REMOVAL")*0.01*Q87</f>
        <v>1370.7228125000004</v>
      </c>
      <c r="I87" s="89">
        <f>F87*H87</f>
        <v>822.43368750000025</v>
      </c>
      <c r="J87" s="105" t="s">
        <v>95</v>
      </c>
      <c r="K87" s="85" t="s">
        <v>63</v>
      </c>
      <c r="L87" s="85" t="s">
        <v>63</v>
      </c>
      <c r="M87" s="85" t="str">
        <f>J87</f>
        <v>WRAP-UP AND ALL-RISK INSURANCE</v>
      </c>
      <c r="N87" s="225">
        <f t="shared" si="15"/>
        <v>1370.7228125000004</v>
      </c>
      <c r="O87" s="226">
        <f t="shared" si="16"/>
        <v>822.43368750000025</v>
      </c>
      <c r="P87" s="88" t="s">
        <v>73</v>
      </c>
      <c r="Q87" s="147">
        <v>6.25E-2</v>
      </c>
      <c r="R87" s="143" t="s">
        <v>237</v>
      </c>
      <c r="S87" s="96" t="s">
        <v>143</v>
      </c>
      <c r="T87" s="84" t="s">
        <v>66</v>
      </c>
      <c r="U87" s="84"/>
      <c r="V87" s="84" t="str">
        <f t="shared" si="17"/>
        <v>3080361CCLRSCHERER-NON0.6%1370.7228125WRAP-UP AND ALL-RISK INSURANCE</v>
      </c>
    </row>
  </sheetData>
  <autoFilter ref="A2:V87"/>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K72"/>
  <sheetViews>
    <sheetView showZeros="0" zoomScale="85" zoomScaleNormal="85" zoomScaleSheetLayoutView="100" workbookViewId="0">
      <pane xSplit="2" ySplit="3" topLeftCell="C4" activePane="bottomRight" state="frozen"/>
      <selection activeCell="I2" sqref="I2:I3"/>
      <selection pane="topRight" activeCell="I2" sqref="I2:I3"/>
      <selection pane="bottomLeft" activeCell="I2" sqref="I2:I3"/>
      <selection pane="bottomRight" activeCell="D30" sqref="D30"/>
    </sheetView>
  </sheetViews>
  <sheetFormatPr defaultRowHeight="15" x14ac:dyDescent="0.25"/>
  <cols>
    <col min="1" max="1" width="8.5703125" style="1" customWidth="1"/>
    <col min="2" max="2" width="51.7109375" style="2" customWidth="1"/>
    <col min="3" max="3" width="4.85546875" style="63" bestFit="1" customWidth="1"/>
    <col min="4" max="4" width="10.140625" style="64" bestFit="1" customWidth="1"/>
    <col min="5" max="5" width="11.85546875" style="65" bestFit="1" customWidth="1"/>
    <col min="6" max="6" width="12.5703125" style="66" bestFit="1" customWidth="1"/>
    <col min="7" max="7" width="12.5703125" style="66" customWidth="1"/>
    <col min="8" max="8" width="1.85546875" style="67" customWidth="1"/>
    <col min="9" max="9" width="5.5703125" style="68" bestFit="1" customWidth="1"/>
    <col min="10" max="10" width="9.28515625" style="63" bestFit="1" customWidth="1"/>
    <col min="11" max="11" width="7.7109375" style="69" bestFit="1" customWidth="1"/>
    <col min="12" max="12" width="10" style="7" customWidth="1"/>
    <col min="13" max="13" width="2" style="67" customWidth="1"/>
    <col min="14" max="14" width="5.7109375" style="68" bestFit="1" customWidth="1"/>
    <col min="15" max="15" width="10.85546875" style="7" bestFit="1" customWidth="1"/>
    <col min="16" max="16" width="5.7109375" style="69" bestFit="1" customWidth="1"/>
    <col min="17" max="17" width="10.85546875" style="7" bestFit="1" customWidth="1"/>
    <col min="18" max="18" width="1.42578125" style="70" customWidth="1"/>
    <col min="19" max="19" width="5.5703125" style="68" bestFit="1" customWidth="1"/>
    <col min="20" max="20" width="12.5703125" style="7" bestFit="1" customWidth="1"/>
    <col min="21" max="21" width="5.7109375" style="69" bestFit="1" customWidth="1"/>
    <col min="22" max="22" width="12.85546875" style="7" customWidth="1"/>
    <col min="23" max="23" width="1.28515625" style="70" customWidth="1"/>
    <col min="24" max="24" width="5.7109375" style="68" bestFit="1" customWidth="1"/>
    <col min="25" max="25" width="11.5703125" style="7" customWidth="1"/>
    <col min="26" max="26" width="5.7109375" style="69" bestFit="1" customWidth="1"/>
    <col min="27" max="27" width="11.5703125" style="7" bestFit="1" customWidth="1"/>
    <col min="28" max="28" width="1.7109375" style="70" customWidth="1"/>
    <col min="29" max="29" width="5.5703125" style="68" bestFit="1" customWidth="1"/>
    <col min="30" max="30" width="11.5703125" style="7" customWidth="1"/>
    <col min="31" max="31" width="5.7109375" style="69" bestFit="1" customWidth="1"/>
    <col min="32" max="32" width="11.5703125" style="7" bestFit="1" customWidth="1"/>
    <col min="33" max="33" width="1.28515625" style="70" customWidth="1"/>
    <col min="34" max="34" width="5.7109375" style="68" bestFit="1" customWidth="1"/>
    <col min="35" max="35" width="11.5703125" style="7" customWidth="1"/>
    <col min="36" max="36" width="5.7109375" style="69" bestFit="1" customWidth="1"/>
    <col min="37" max="37" width="11.5703125" style="7" bestFit="1" customWidth="1"/>
    <col min="38" max="38" width="2.42578125" style="70" customWidth="1"/>
    <col min="39" max="39" width="4.7109375" style="68" bestFit="1" customWidth="1"/>
    <col min="40" max="40" width="11.85546875" style="7" bestFit="1" customWidth="1"/>
    <col min="41" max="41" width="8.5703125" style="69" customWidth="1"/>
    <col min="42" max="42" width="12.42578125" style="7" customWidth="1"/>
    <col min="43" max="43" width="1.85546875" style="70" customWidth="1"/>
    <col min="44" max="44" width="5.5703125" style="68" bestFit="1" customWidth="1"/>
    <col min="45" max="45" width="11.5703125" style="7" customWidth="1"/>
    <col min="46" max="46" width="5.7109375" style="69" bestFit="1" customWidth="1"/>
    <col min="47" max="47" width="11.5703125" style="7" bestFit="1" customWidth="1"/>
    <col min="48" max="48" width="14.28515625" style="6" bestFit="1" customWidth="1"/>
    <col min="49" max="49" width="13.28515625" style="7" customWidth="1"/>
    <col min="50" max="50" width="12.42578125" style="7" customWidth="1"/>
    <col min="51" max="16384" width="9.140625" style="2"/>
  </cols>
  <sheetData>
    <row r="1" spans="1:51" x14ac:dyDescent="0.25">
      <c r="C1" s="240" t="s">
        <v>0</v>
      </c>
      <c r="D1" s="241"/>
      <c r="E1" s="241"/>
      <c r="F1" s="241"/>
      <c r="G1" s="138"/>
      <c r="H1" s="3"/>
      <c r="I1" s="236" t="s">
        <v>1</v>
      </c>
      <c r="J1" s="237"/>
      <c r="K1" s="237"/>
      <c r="L1" s="237"/>
      <c r="M1" s="3"/>
      <c r="N1" s="236" t="s">
        <v>2</v>
      </c>
      <c r="O1" s="237"/>
      <c r="P1" s="237"/>
      <c r="Q1" s="237"/>
      <c r="R1" s="4"/>
      <c r="S1" s="236" t="s">
        <v>3</v>
      </c>
      <c r="T1" s="237"/>
      <c r="U1" s="237"/>
      <c r="V1" s="237"/>
      <c r="W1" s="4"/>
      <c r="X1" s="236" t="s">
        <v>4</v>
      </c>
      <c r="Y1" s="237"/>
      <c r="Z1" s="237"/>
      <c r="AA1" s="237"/>
      <c r="AB1" s="4"/>
      <c r="AC1" s="236" t="s">
        <v>5</v>
      </c>
      <c r="AD1" s="237"/>
      <c r="AE1" s="237"/>
      <c r="AF1" s="237"/>
      <c r="AG1" s="4"/>
      <c r="AH1" s="236" t="s">
        <v>6</v>
      </c>
      <c r="AI1" s="237"/>
      <c r="AJ1" s="237"/>
      <c r="AK1" s="237"/>
      <c r="AL1" s="4"/>
      <c r="AM1" s="236" t="s">
        <v>7</v>
      </c>
      <c r="AN1" s="237"/>
      <c r="AO1" s="237"/>
      <c r="AP1" s="237"/>
      <c r="AQ1" s="4"/>
      <c r="AR1" s="236" t="s">
        <v>8</v>
      </c>
      <c r="AS1" s="237"/>
      <c r="AT1" s="237"/>
      <c r="AU1" s="237"/>
    </row>
    <row r="2" spans="1:51" s="9" customFormat="1" ht="57.75" customHeight="1" x14ac:dyDescent="0.25">
      <c r="A2" s="8"/>
      <c r="C2" s="238"/>
      <c r="D2" s="239"/>
      <c r="E2" s="239"/>
      <c r="F2" s="239"/>
      <c r="G2" s="137"/>
      <c r="H2" s="10"/>
      <c r="I2" s="11"/>
      <c r="J2" s="12"/>
      <c r="K2" s="234" t="s">
        <v>178</v>
      </c>
      <c r="L2" s="235"/>
      <c r="M2" s="10"/>
      <c r="N2" s="11"/>
      <c r="O2" s="12"/>
      <c r="P2" s="234" t="s">
        <v>178</v>
      </c>
      <c r="Q2" s="235"/>
      <c r="R2" s="13"/>
      <c r="S2" s="11"/>
      <c r="T2" s="12"/>
      <c r="U2" s="234" t="s">
        <v>178</v>
      </c>
      <c r="V2" s="235"/>
      <c r="W2" s="13"/>
      <c r="X2" s="11"/>
      <c r="Y2" s="12"/>
      <c r="Z2" s="234" t="s">
        <v>178</v>
      </c>
      <c r="AA2" s="235"/>
      <c r="AB2" s="13"/>
      <c r="AC2" s="11"/>
      <c r="AD2" s="12"/>
      <c r="AE2" s="234" t="s">
        <v>178</v>
      </c>
      <c r="AF2" s="235"/>
      <c r="AG2" s="13"/>
      <c r="AH2" s="11"/>
      <c r="AI2" s="12"/>
      <c r="AJ2" s="234" t="s">
        <v>178</v>
      </c>
      <c r="AK2" s="235"/>
      <c r="AL2" s="13"/>
      <c r="AM2" s="11"/>
      <c r="AN2" s="12"/>
      <c r="AO2" s="234" t="s">
        <v>178</v>
      </c>
      <c r="AP2" s="235"/>
      <c r="AQ2" s="13"/>
      <c r="AR2" s="11"/>
      <c r="AS2" s="12"/>
      <c r="AT2" s="234" t="s">
        <v>178</v>
      </c>
      <c r="AU2" s="235"/>
      <c r="AV2" s="14"/>
      <c r="AW2" s="15"/>
      <c r="AX2" s="15"/>
    </row>
    <row r="3" spans="1:51" s="16" customFormat="1" ht="30" x14ac:dyDescent="0.25">
      <c r="B3" s="16" t="s">
        <v>9</v>
      </c>
      <c r="C3" s="17" t="s">
        <v>10</v>
      </c>
      <c r="D3" s="18" t="s">
        <v>11</v>
      </c>
      <c r="E3" s="19" t="s">
        <v>12</v>
      </c>
      <c r="F3" s="20" t="s">
        <v>13</v>
      </c>
      <c r="G3" s="117"/>
      <c r="H3" s="21"/>
      <c r="I3" s="22" t="s">
        <v>14</v>
      </c>
      <c r="J3" s="23" t="s">
        <v>0</v>
      </c>
      <c r="K3" s="24" t="s">
        <v>14</v>
      </c>
      <c r="L3" s="25" t="s">
        <v>13</v>
      </c>
      <c r="M3" s="21"/>
      <c r="N3" s="22" t="s">
        <v>14</v>
      </c>
      <c r="O3" s="23" t="s">
        <v>0</v>
      </c>
      <c r="P3" s="24" t="s">
        <v>14</v>
      </c>
      <c r="Q3" s="25" t="s">
        <v>13</v>
      </c>
      <c r="R3" s="27"/>
      <c r="S3" s="22" t="s">
        <v>14</v>
      </c>
      <c r="T3" s="23" t="s">
        <v>0</v>
      </c>
      <c r="U3" s="24" t="s">
        <v>14</v>
      </c>
      <c r="V3" s="25" t="s">
        <v>13</v>
      </c>
      <c r="W3" s="27"/>
      <c r="X3" s="22" t="s">
        <v>14</v>
      </c>
      <c r="Y3" s="23" t="s">
        <v>0</v>
      </c>
      <c r="Z3" s="24" t="s">
        <v>14</v>
      </c>
      <c r="AA3" s="25" t="s">
        <v>13</v>
      </c>
      <c r="AB3" s="27"/>
      <c r="AC3" s="22" t="s">
        <v>14</v>
      </c>
      <c r="AD3" s="23" t="s">
        <v>0</v>
      </c>
      <c r="AE3" s="24" t="s">
        <v>14</v>
      </c>
      <c r="AF3" s="25" t="s">
        <v>13</v>
      </c>
      <c r="AG3" s="27"/>
      <c r="AH3" s="22" t="s">
        <v>14</v>
      </c>
      <c r="AI3" s="23" t="s">
        <v>0</v>
      </c>
      <c r="AJ3" s="24" t="s">
        <v>14</v>
      </c>
      <c r="AK3" s="25" t="s">
        <v>13</v>
      </c>
      <c r="AL3" s="27"/>
      <c r="AM3" s="22" t="s">
        <v>14</v>
      </c>
      <c r="AN3" s="23" t="s">
        <v>0</v>
      </c>
      <c r="AO3" s="24" t="s">
        <v>14</v>
      </c>
      <c r="AP3" s="25" t="s">
        <v>13</v>
      </c>
      <c r="AQ3" s="27"/>
      <c r="AR3" s="22" t="s">
        <v>14</v>
      </c>
      <c r="AS3" s="23" t="s">
        <v>0</v>
      </c>
      <c r="AT3" s="24" t="s">
        <v>14</v>
      </c>
      <c r="AU3" s="25" t="s">
        <v>13</v>
      </c>
      <c r="AV3" s="28" t="s">
        <v>15</v>
      </c>
      <c r="AW3" s="29" t="s">
        <v>16</v>
      </c>
      <c r="AX3" s="29" t="s">
        <v>17</v>
      </c>
      <c r="AY3" s="16" t="s">
        <v>18</v>
      </c>
    </row>
    <row r="4" spans="1:51" s="16" customFormat="1" x14ac:dyDescent="0.25">
      <c r="A4" s="30" t="s">
        <v>19</v>
      </c>
      <c r="C4" s="31"/>
      <c r="D4" s="32"/>
      <c r="E4" s="33"/>
      <c r="F4" s="34">
        <v>0</v>
      </c>
      <c r="G4" s="118"/>
      <c r="H4" s="35"/>
      <c r="I4" s="36"/>
      <c r="J4" s="37">
        <f>I4*$F4</f>
        <v>0</v>
      </c>
      <c r="K4" s="38"/>
      <c r="L4" s="39">
        <f>K4*J4</f>
        <v>0</v>
      </c>
      <c r="M4" s="35"/>
      <c r="N4" s="36"/>
      <c r="O4" s="37">
        <f>N4*$F4</f>
        <v>0</v>
      </c>
      <c r="P4" s="38"/>
      <c r="Q4" s="39">
        <f>P4*O4</f>
        <v>0</v>
      </c>
      <c r="R4" s="40"/>
      <c r="S4" s="36"/>
      <c r="T4" s="37">
        <f>S4*$F4</f>
        <v>0</v>
      </c>
      <c r="U4" s="38"/>
      <c r="V4" s="39">
        <f>U4*T4</f>
        <v>0</v>
      </c>
      <c r="W4" s="40"/>
      <c r="X4" s="36"/>
      <c r="Y4" s="37">
        <f>X4*$F4</f>
        <v>0</v>
      </c>
      <c r="Z4" s="38"/>
      <c r="AA4" s="39">
        <f>Z4*Y4</f>
        <v>0</v>
      </c>
      <c r="AB4" s="40"/>
      <c r="AC4" s="36"/>
      <c r="AD4" s="37">
        <f>AC4*$F4</f>
        <v>0</v>
      </c>
      <c r="AE4" s="38"/>
      <c r="AF4" s="39">
        <f>AE4*AD4</f>
        <v>0</v>
      </c>
      <c r="AG4" s="40"/>
      <c r="AH4" s="36"/>
      <c r="AI4" s="37">
        <f>AH4*$F4</f>
        <v>0</v>
      </c>
      <c r="AJ4" s="38"/>
      <c r="AK4" s="39">
        <f>AJ4*AI4</f>
        <v>0</v>
      </c>
      <c r="AL4" s="40"/>
      <c r="AM4" s="36"/>
      <c r="AN4" s="37">
        <f>AM4*$F4</f>
        <v>0</v>
      </c>
      <c r="AO4" s="38"/>
      <c r="AP4" s="39">
        <f>AO4*AN4</f>
        <v>0</v>
      </c>
      <c r="AQ4" s="40"/>
      <c r="AR4" s="36"/>
      <c r="AS4" s="37">
        <f>AR4*$F4</f>
        <v>0</v>
      </c>
      <c r="AT4" s="38"/>
      <c r="AU4" s="39">
        <f>AT4*AS4</f>
        <v>0</v>
      </c>
      <c r="AV4" s="41">
        <f t="shared" ref="AV4:AV29" si="0">F4</f>
        <v>0</v>
      </c>
      <c r="AW4" s="41">
        <f t="shared" ref="AW4:AW29" si="1">J4+O4+T4+Y4+AD4+AI4+AN4+AS4</f>
        <v>0</v>
      </c>
      <c r="AX4" s="41">
        <f>SUM(AU4,AP4,AK4,AF4,AA4,V4,Q4,L4)</f>
        <v>0</v>
      </c>
      <c r="AY4" s="16">
        <f>IF(AND(AV4=AW4,AW4=AX4,AV4=AX4),0,1)</f>
        <v>0</v>
      </c>
    </row>
    <row r="5" spans="1:51" s="16" customFormat="1" x14ac:dyDescent="0.25">
      <c r="B5" s="2" t="s">
        <v>20</v>
      </c>
      <c r="C5" s="42" t="s">
        <v>21</v>
      </c>
      <c r="D5" s="43">
        <v>1</v>
      </c>
      <c r="E5" s="34">
        <v>50000</v>
      </c>
      <c r="F5" s="94">
        <v>50000</v>
      </c>
      <c r="G5" s="119"/>
      <c r="H5" s="40"/>
      <c r="I5" s="36">
        <v>1</v>
      </c>
      <c r="J5" s="37">
        <f t="shared" ref="J5:J42" si="2">I5*$F5</f>
        <v>50000</v>
      </c>
      <c r="K5" s="38">
        <v>1</v>
      </c>
      <c r="L5" s="39">
        <f t="shared" ref="L5:L42" si="3">K5*J5</f>
        <v>50000</v>
      </c>
      <c r="M5" s="40"/>
      <c r="N5" s="36"/>
      <c r="O5" s="37">
        <f t="shared" ref="O5:O42" si="4">N5*$F5</f>
        <v>0</v>
      </c>
      <c r="P5" s="38"/>
      <c r="Q5" s="39">
        <f t="shared" ref="Q5:Q42" si="5">P5*O5</f>
        <v>0</v>
      </c>
      <c r="R5" s="40"/>
      <c r="S5" s="36"/>
      <c r="T5" s="37">
        <f t="shared" ref="T5:T42" si="6">S5*$F5</f>
        <v>0</v>
      </c>
      <c r="U5" s="38"/>
      <c r="V5" s="39">
        <f t="shared" ref="V5:V42" si="7">U5*T5</f>
        <v>0</v>
      </c>
      <c r="W5" s="40"/>
      <c r="X5" s="36"/>
      <c r="Y5" s="37">
        <f t="shared" ref="Y5:Y42" si="8">X5*$F5</f>
        <v>0</v>
      </c>
      <c r="Z5" s="38"/>
      <c r="AA5" s="39">
        <f t="shared" ref="AA5:AA42" si="9">Z5*Y5</f>
        <v>0</v>
      </c>
      <c r="AB5" s="40"/>
      <c r="AC5" s="36"/>
      <c r="AD5" s="37">
        <f t="shared" ref="AD5:AD42" si="10">AC5*$F5</f>
        <v>0</v>
      </c>
      <c r="AE5" s="38"/>
      <c r="AF5" s="39">
        <f t="shared" ref="AF5:AF42" si="11">AE5*AD5</f>
        <v>0</v>
      </c>
      <c r="AG5" s="40"/>
      <c r="AH5" s="36"/>
      <c r="AI5" s="37">
        <f t="shared" ref="AI5:AI42" si="12">AH5*$F5</f>
        <v>0</v>
      </c>
      <c r="AJ5" s="38"/>
      <c r="AK5" s="39">
        <f t="shared" ref="AK5:AK42" si="13">AJ5*AI5</f>
        <v>0</v>
      </c>
      <c r="AL5" s="40"/>
      <c r="AM5" s="36"/>
      <c r="AN5" s="37">
        <f t="shared" ref="AN5:AN42" si="14">AM5*$F5</f>
        <v>0</v>
      </c>
      <c r="AO5" s="38"/>
      <c r="AP5" s="39">
        <f t="shared" ref="AP5:AP42" si="15">AO5*AN5</f>
        <v>0</v>
      </c>
      <c r="AQ5" s="40"/>
      <c r="AR5" s="36"/>
      <c r="AS5" s="37">
        <f t="shared" ref="AS5:AS42" si="16">AR5*$F5</f>
        <v>0</v>
      </c>
      <c r="AT5" s="38"/>
      <c r="AU5" s="39">
        <f t="shared" ref="AU5:AU42" si="17">AT5*AS5</f>
        <v>0</v>
      </c>
      <c r="AV5" s="41">
        <f t="shared" si="0"/>
        <v>50000</v>
      </c>
      <c r="AW5" s="41">
        <f t="shared" si="1"/>
        <v>50000</v>
      </c>
      <c r="AX5" s="41">
        <f t="shared" ref="AX5:AX56" si="18">SUM(AU5,AP5,AK5,AF5,AA5,V5,Q5,L5)</f>
        <v>50000</v>
      </c>
      <c r="AY5" s="16">
        <f>IF(AND(AV5=AW5,AW5=AX5,AV5=AX5),0,1)</f>
        <v>0</v>
      </c>
    </row>
    <row r="6" spans="1:51" s="16" customFormat="1" x14ac:dyDescent="0.25">
      <c r="B6" s="2" t="s">
        <v>22</v>
      </c>
      <c r="C6" s="42" t="s">
        <v>21</v>
      </c>
      <c r="D6" s="43">
        <v>1</v>
      </c>
      <c r="E6" s="34">
        <v>450000</v>
      </c>
      <c r="F6" s="94">
        <v>450000</v>
      </c>
      <c r="G6" s="119"/>
      <c r="H6" s="40"/>
      <c r="I6" s="36">
        <v>1</v>
      </c>
      <c r="J6" s="37">
        <f t="shared" si="2"/>
        <v>450000</v>
      </c>
      <c r="K6" s="38">
        <v>1</v>
      </c>
      <c r="L6" s="39">
        <f t="shared" si="3"/>
        <v>450000</v>
      </c>
      <c r="M6" s="40"/>
      <c r="N6" s="36"/>
      <c r="O6" s="37">
        <f t="shared" si="4"/>
        <v>0</v>
      </c>
      <c r="P6" s="38"/>
      <c r="Q6" s="39">
        <f t="shared" si="5"/>
        <v>0</v>
      </c>
      <c r="R6" s="40"/>
      <c r="S6" s="36"/>
      <c r="T6" s="37">
        <f t="shared" si="6"/>
        <v>0</v>
      </c>
      <c r="U6" s="38"/>
      <c r="V6" s="39">
        <f t="shared" si="7"/>
        <v>0</v>
      </c>
      <c r="W6" s="40"/>
      <c r="X6" s="36"/>
      <c r="Y6" s="37">
        <f t="shared" si="8"/>
        <v>0</v>
      </c>
      <c r="Z6" s="38"/>
      <c r="AA6" s="39">
        <f t="shared" si="9"/>
        <v>0</v>
      </c>
      <c r="AB6" s="40"/>
      <c r="AC6" s="36"/>
      <c r="AD6" s="37">
        <f t="shared" si="10"/>
        <v>0</v>
      </c>
      <c r="AE6" s="38"/>
      <c r="AF6" s="39">
        <f t="shared" si="11"/>
        <v>0</v>
      </c>
      <c r="AG6" s="40"/>
      <c r="AH6" s="36"/>
      <c r="AI6" s="37">
        <f t="shared" si="12"/>
        <v>0</v>
      </c>
      <c r="AJ6" s="38"/>
      <c r="AK6" s="39">
        <f t="shared" si="13"/>
        <v>0</v>
      </c>
      <c r="AL6" s="40"/>
      <c r="AM6" s="36"/>
      <c r="AN6" s="37">
        <f t="shared" si="14"/>
        <v>0</v>
      </c>
      <c r="AO6" s="38"/>
      <c r="AP6" s="39">
        <f t="shared" si="15"/>
        <v>0</v>
      </c>
      <c r="AQ6" s="40"/>
      <c r="AR6" s="36"/>
      <c r="AS6" s="37">
        <f t="shared" si="16"/>
        <v>0</v>
      </c>
      <c r="AT6" s="38"/>
      <c r="AU6" s="39">
        <f t="shared" si="17"/>
        <v>0</v>
      </c>
      <c r="AV6" s="41">
        <f t="shared" si="0"/>
        <v>450000</v>
      </c>
      <c r="AW6" s="41">
        <f t="shared" si="1"/>
        <v>450000</v>
      </c>
      <c r="AX6" s="41">
        <f t="shared" si="18"/>
        <v>450000</v>
      </c>
      <c r="AY6" s="16">
        <f t="shared" ref="AY6:AY42" si="19">IF(AND(AV6=AW6,AW6=AX6,AV6=AX6),0,1)</f>
        <v>0</v>
      </c>
    </row>
    <row r="7" spans="1:51" s="16" customFormat="1" x14ac:dyDescent="0.25">
      <c r="B7" s="44" t="s">
        <v>23</v>
      </c>
      <c r="C7" s="42" t="s">
        <v>21</v>
      </c>
      <c r="D7" s="43">
        <v>1</v>
      </c>
      <c r="E7" s="34">
        <v>50000</v>
      </c>
      <c r="F7" s="94">
        <v>50000</v>
      </c>
      <c r="G7" s="119"/>
      <c r="H7" s="40"/>
      <c r="I7" s="36">
        <v>1</v>
      </c>
      <c r="J7" s="37">
        <f t="shared" si="2"/>
        <v>50000</v>
      </c>
      <c r="K7" s="38">
        <v>1</v>
      </c>
      <c r="L7" s="39">
        <f t="shared" si="3"/>
        <v>50000</v>
      </c>
      <c r="M7" s="40"/>
      <c r="N7" s="36"/>
      <c r="O7" s="37">
        <f t="shared" si="4"/>
        <v>0</v>
      </c>
      <c r="P7" s="38"/>
      <c r="Q7" s="39">
        <f t="shared" si="5"/>
        <v>0</v>
      </c>
      <c r="R7" s="40"/>
      <c r="S7" s="36"/>
      <c r="T7" s="37">
        <f t="shared" si="6"/>
        <v>0</v>
      </c>
      <c r="U7" s="38"/>
      <c r="V7" s="39">
        <f t="shared" si="7"/>
        <v>0</v>
      </c>
      <c r="W7" s="40"/>
      <c r="X7" s="36"/>
      <c r="Y7" s="37">
        <f t="shared" si="8"/>
        <v>0</v>
      </c>
      <c r="Z7" s="38"/>
      <c r="AA7" s="39">
        <f t="shared" si="9"/>
        <v>0</v>
      </c>
      <c r="AB7" s="40"/>
      <c r="AC7" s="36"/>
      <c r="AD7" s="37">
        <f t="shared" si="10"/>
        <v>0</v>
      </c>
      <c r="AE7" s="38"/>
      <c r="AF7" s="39">
        <f t="shared" si="11"/>
        <v>0</v>
      </c>
      <c r="AG7" s="40"/>
      <c r="AH7" s="36"/>
      <c r="AI7" s="37">
        <f t="shared" si="12"/>
        <v>0</v>
      </c>
      <c r="AJ7" s="38"/>
      <c r="AK7" s="39">
        <f t="shared" si="13"/>
        <v>0</v>
      </c>
      <c r="AL7" s="40"/>
      <c r="AM7" s="36"/>
      <c r="AN7" s="37">
        <f t="shared" si="14"/>
        <v>0</v>
      </c>
      <c r="AO7" s="38"/>
      <c r="AP7" s="39">
        <f t="shared" si="15"/>
        <v>0</v>
      </c>
      <c r="AQ7" s="40"/>
      <c r="AR7" s="36"/>
      <c r="AS7" s="37">
        <f t="shared" si="16"/>
        <v>0</v>
      </c>
      <c r="AT7" s="38"/>
      <c r="AU7" s="39">
        <f t="shared" si="17"/>
        <v>0</v>
      </c>
      <c r="AV7" s="41">
        <f t="shared" si="0"/>
        <v>50000</v>
      </c>
      <c r="AW7" s="41">
        <f t="shared" si="1"/>
        <v>50000</v>
      </c>
      <c r="AX7" s="41">
        <f t="shared" si="18"/>
        <v>50000</v>
      </c>
      <c r="AY7" s="16">
        <f t="shared" si="19"/>
        <v>0</v>
      </c>
    </row>
    <row r="8" spans="1:51" s="16" customFormat="1" x14ac:dyDescent="0.25">
      <c r="B8" s="2"/>
      <c r="C8" s="45"/>
      <c r="D8" s="43"/>
      <c r="E8" s="34"/>
      <c r="F8" s="34"/>
      <c r="G8" s="118"/>
      <c r="H8" s="40"/>
      <c r="I8" s="36"/>
      <c r="J8" s="37">
        <f t="shared" si="2"/>
        <v>0</v>
      </c>
      <c r="K8" s="38"/>
      <c r="L8" s="39">
        <f t="shared" si="3"/>
        <v>0</v>
      </c>
      <c r="M8" s="40"/>
      <c r="N8" s="36"/>
      <c r="O8" s="37">
        <f t="shared" si="4"/>
        <v>0</v>
      </c>
      <c r="P8" s="38"/>
      <c r="Q8" s="39">
        <f t="shared" si="5"/>
        <v>0</v>
      </c>
      <c r="R8" s="40"/>
      <c r="S8" s="36"/>
      <c r="T8" s="37">
        <f t="shared" si="6"/>
        <v>0</v>
      </c>
      <c r="U8" s="38"/>
      <c r="V8" s="39">
        <f t="shared" si="7"/>
        <v>0</v>
      </c>
      <c r="W8" s="40"/>
      <c r="X8" s="36"/>
      <c r="Y8" s="37">
        <f t="shared" si="8"/>
        <v>0</v>
      </c>
      <c r="Z8" s="38"/>
      <c r="AA8" s="39">
        <f t="shared" si="9"/>
        <v>0</v>
      </c>
      <c r="AB8" s="40"/>
      <c r="AC8" s="36"/>
      <c r="AD8" s="37">
        <f t="shared" si="10"/>
        <v>0</v>
      </c>
      <c r="AE8" s="38"/>
      <c r="AF8" s="39">
        <f t="shared" si="11"/>
        <v>0</v>
      </c>
      <c r="AG8" s="40"/>
      <c r="AH8" s="36"/>
      <c r="AI8" s="37">
        <f t="shared" si="12"/>
        <v>0</v>
      </c>
      <c r="AJ8" s="38"/>
      <c r="AK8" s="39">
        <f t="shared" si="13"/>
        <v>0</v>
      </c>
      <c r="AL8" s="40"/>
      <c r="AM8" s="36"/>
      <c r="AN8" s="37">
        <f t="shared" si="14"/>
        <v>0</v>
      </c>
      <c r="AO8" s="38"/>
      <c r="AP8" s="39">
        <f t="shared" si="15"/>
        <v>0</v>
      </c>
      <c r="AQ8" s="40"/>
      <c r="AR8" s="36"/>
      <c r="AS8" s="37">
        <f t="shared" si="16"/>
        <v>0</v>
      </c>
      <c r="AT8" s="38"/>
      <c r="AU8" s="39">
        <f t="shared" si="17"/>
        <v>0</v>
      </c>
      <c r="AV8" s="41">
        <f t="shared" si="0"/>
        <v>0</v>
      </c>
      <c r="AW8" s="41">
        <f t="shared" si="1"/>
        <v>0</v>
      </c>
      <c r="AX8" s="41">
        <f t="shared" si="18"/>
        <v>0</v>
      </c>
      <c r="AY8" s="16">
        <f t="shared" si="19"/>
        <v>0</v>
      </c>
    </row>
    <row r="9" spans="1:51" x14ac:dyDescent="0.25">
      <c r="A9" s="1" t="s">
        <v>24</v>
      </c>
      <c r="C9" s="45"/>
      <c r="D9" s="53"/>
      <c r="E9" s="34"/>
      <c r="F9" s="34">
        <v>0</v>
      </c>
      <c r="G9" s="118"/>
      <c r="H9" s="40"/>
      <c r="I9" s="36"/>
      <c r="J9" s="37">
        <f t="shared" si="2"/>
        <v>0</v>
      </c>
      <c r="K9" s="38"/>
      <c r="L9" s="39">
        <f t="shared" si="3"/>
        <v>0</v>
      </c>
      <c r="M9" s="40"/>
      <c r="N9" s="36"/>
      <c r="O9" s="37">
        <f t="shared" si="4"/>
        <v>0</v>
      </c>
      <c r="P9" s="38"/>
      <c r="Q9" s="39">
        <f t="shared" si="5"/>
        <v>0</v>
      </c>
      <c r="R9" s="40"/>
      <c r="S9" s="36"/>
      <c r="T9" s="37">
        <f t="shared" si="6"/>
        <v>0</v>
      </c>
      <c r="U9" s="38"/>
      <c r="V9" s="39">
        <f t="shared" si="7"/>
        <v>0</v>
      </c>
      <c r="W9" s="40"/>
      <c r="X9" s="36"/>
      <c r="Y9" s="37">
        <f t="shared" si="8"/>
        <v>0</v>
      </c>
      <c r="Z9" s="38"/>
      <c r="AA9" s="39">
        <f t="shared" si="9"/>
        <v>0</v>
      </c>
      <c r="AB9" s="40"/>
      <c r="AC9" s="36"/>
      <c r="AD9" s="37">
        <f t="shared" si="10"/>
        <v>0</v>
      </c>
      <c r="AE9" s="38"/>
      <c r="AF9" s="39">
        <f t="shared" si="11"/>
        <v>0</v>
      </c>
      <c r="AG9" s="40"/>
      <c r="AH9" s="36"/>
      <c r="AI9" s="37">
        <f t="shared" si="12"/>
        <v>0</v>
      </c>
      <c r="AJ9" s="38"/>
      <c r="AK9" s="39">
        <f t="shared" si="13"/>
        <v>0</v>
      </c>
      <c r="AL9" s="40"/>
      <c r="AM9" s="36"/>
      <c r="AN9" s="37">
        <f t="shared" si="14"/>
        <v>0</v>
      </c>
      <c r="AO9" s="38"/>
      <c r="AP9" s="39">
        <f t="shared" si="15"/>
        <v>0</v>
      </c>
      <c r="AQ9" s="40"/>
      <c r="AR9" s="36"/>
      <c r="AS9" s="37">
        <f t="shared" si="16"/>
        <v>0</v>
      </c>
      <c r="AT9" s="38"/>
      <c r="AU9" s="39">
        <f t="shared" si="17"/>
        <v>0</v>
      </c>
      <c r="AV9" s="41">
        <f t="shared" si="0"/>
        <v>0</v>
      </c>
      <c r="AW9" s="41">
        <f t="shared" si="1"/>
        <v>0</v>
      </c>
      <c r="AX9" s="41">
        <f t="shared" si="18"/>
        <v>0</v>
      </c>
      <c r="AY9" s="16">
        <f t="shared" si="19"/>
        <v>0</v>
      </c>
    </row>
    <row r="10" spans="1:51" x14ac:dyDescent="0.25">
      <c r="A10" s="2"/>
      <c r="B10" s="2" t="s">
        <v>25</v>
      </c>
      <c r="C10" s="42" t="s">
        <v>21</v>
      </c>
      <c r="D10" s="53">
        <v>1</v>
      </c>
      <c r="E10" s="34">
        <v>450000</v>
      </c>
      <c r="F10" s="94">
        <v>450000</v>
      </c>
      <c r="G10" s="119"/>
      <c r="H10" s="40"/>
      <c r="I10" s="36">
        <v>0.125</v>
      </c>
      <c r="J10" s="37">
        <f t="shared" si="2"/>
        <v>56250</v>
      </c>
      <c r="K10" s="38">
        <v>1</v>
      </c>
      <c r="L10" s="39">
        <f t="shared" si="3"/>
        <v>56250</v>
      </c>
      <c r="M10" s="40"/>
      <c r="N10" s="36">
        <v>0.125</v>
      </c>
      <c r="O10" s="37">
        <f t="shared" si="4"/>
        <v>56250</v>
      </c>
      <c r="P10" s="38">
        <v>1</v>
      </c>
      <c r="Q10" s="39">
        <f t="shared" si="5"/>
        <v>56250</v>
      </c>
      <c r="R10" s="40"/>
      <c r="S10" s="36">
        <v>0.125</v>
      </c>
      <c r="T10" s="37">
        <f t="shared" si="6"/>
        <v>56250</v>
      </c>
      <c r="U10" s="38">
        <v>1</v>
      </c>
      <c r="V10" s="39">
        <f t="shared" si="7"/>
        <v>56250</v>
      </c>
      <c r="W10" s="40"/>
      <c r="X10" s="36">
        <v>0.125</v>
      </c>
      <c r="Y10" s="37">
        <f t="shared" si="8"/>
        <v>56250</v>
      </c>
      <c r="Z10" s="38">
        <v>1</v>
      </c>
      <c r="AA10" s="39">
        <f t="shared" si="9"/>
        <v>56250</v>
      </c>
      <c r="AB10" s="40"/>
      <c r="AC10" s="36">
        <v>0.125</v>
      </c>
      <c r="AD10" s="37">
        <f t="shared" si="10"/>
        <v>56250</v>
      </c>
      <c r="AE10" s="38">
        <v>1</v>
      </c>
      <c r="AF10" s="39">
        <f t="shared" si="11"/>
        <v>56250</v>
      </c>
      <c r="AG10" s="40"/>
      <c r="AH10" s="36">
        <v>0.125</v>
      </c>
      <c r="AI10" s="37">
        <f t="shared" si="12"/>
        <v>56250</v>
      </c>
      <c r="AJ10" s="38">
        <v>1</v>
      </c>
      <c r="AK10" s="39">
        <f t="shared" si="13"/>
        <v>56250</v>
      </c>
      <c r="AL10" s="40"/>
      <c r="AM10" s="36">
        <v>0.125</v>
      </c>
      <c r="AN10" s="37">
        <f t="shared" si="14"/>
        <v>56250</v>
      </c>
      <c r="AO10" s="38">
        <v>1</v>
      </c>
      <c r="AP10" s="39">
        <f t="shared" si="15"/>
        <v>56250</v>
      </c>
      <c r="AQ10" s="40"/>
      <c r="AR10" s="36">
        <v>0.125</v>
      </c>
      <c r="AS10" s="37">
        <f t="shared" si="16"/>
        <v>56250</v>
      </c>
      <c r="AT10" s="38">
        <v>1</v>
      </c>
      <c r="AU10" s="39">
        <f t="shared" si="17"/>
        <v>56250</v>
      </c>
      <c r="AV10" s="41">
        <f t="shared" si="0"/>
        <v>450000</v>
      </c>
      <c r="AW10" s="41">
        <f t="shared" si="1"/>
        <v>450000</v>
      </c>
      <c r="AX10" s="41">
        <f t="shared" si="18"/>
        <v>450000</v>
      </c>
      <c r="AY10" s="16">
        <f t="shared" si="19"/>
        <v>0</v>
      </c>
    </row>
    <row r="11" spans="1:51" x14ac:dyDescent="0.25">
      <c r="B11" s="46" t="s">
        <v>26</v>
      </c>
      <c r="C11" s="42" t="s">
        <v>27</v>
      </c>
      <c r="D11" s="53">
        <v>150000</v>
      </c>
      <c r="E11" s="47">
        <v>4.5</v>
      </c>
      <c r="F11" s="94">
        <v>675000</v>
      </c>
      <c r="G11" s="119"/>
      <c r="H11" s="40"/>
      <c r="I11" s="36"/>
      <c r="J11" s="37">
        <f t="shared" si="2"/>
        <v>0</v>
      </c>
      <c r="K11" s="38"/>
      <c r="L11" s="39">
        <f t="shared" si="3"/>
        <v>0</v>
      </c>
      <c r="M11" s="40"/>
      <c r="N11" s="36">
        <v>1</v>
      </c>
      <c r="O11" s="37">
        <f t="shared" si="4"/>
        <v>675000</v>
      </c>
      <c r="P11" s="38">
        <v>1</v>
      </c>
      <c r="Q11" s="39">
        <f t="shared" si="5"/>
        <v>675000</v>
      </c>
      <c r="R11" s="40"/>
      <c r="S11" s="36"/>
      <c r="T11" s="37">
        <f t="shared" si="6"/>
        <v>0</v>
      </c>
      <c r="U11" s="38"/>
      <c r="V11" s="39">
        <f t="shared" si="7"/>
        <v>0</v>
      </c>
      <c r="W11" s="40"/>
      <c r="X11" s="36"/>
      <c r="Y11" s="37">
        <f t="shared" si="8"/>
        <v>0</v>
      </c>
      <c r="Z11" s="38"/>
      <c r="AA11" s="39">
        <f t="shared" si="9"/>
        <v>0</v>
      </c>
      <c r="AB11" s="40"/>
      <c r="AC11" s="36"/>
      <c r="AD11" s="37">
        <f t="shared" si="10"/>
        <v>0</v>
      </c>
      <c r="AE11" s="38"/>
      <c r="AF11" s="39">
        <f t="shared" si="11"/>
        <v>0</v>
      </c>
      <c r="AG11" s="40"/>
      <c r="AH11" s="36"/>
      <c r="AI11" s="37">
        <f t="shared" si="12"/>
        <v>0</v>
      </c>
      <c r="AJ11" s="38"/>
      <c r="AK11" s="39">
        <f t="shared" si="13"/>
        <v>0</v>
      </c>
      <c r="AL11" s="40"/>
      <c r="AM11" s="36"/>
      <c r="AN11" s="37">
        <f t="shared" si="14"/>
        <v>0</v>
      </c>
      <c r="AO11" s="38"/>
      <c r="AP11" s="39">
        <f t="shared" si="15"/>
        <v>0</v>
      </c>
      <c r="AQ11" s="40"/>
      <c r="AR11" s="36"/>
      <c r="AS11" s="37">
        <f t="shared" si="16"/>
        <v>0</v>
      </c>
      <c r="AT11" s="38"/>
      <c r="AU11" s="39">
        <f t="shared" si="17"/>
        <v>0</v>
      </c>
      <c r="AV11" s="41">
        <f t="shared" si="0"/>
        <v>675000</v>
      </c>
      <c r="AW11" s="41">
        <f t="shared" si="1"/>
        <v>675000</v>
      </c>
      <c r="AX11" s="41">
        <f t="shared" si="18"/>
        <v>675000</v>
      </c>
      <c r="AY11" s="16">
        <f t="shared" si="19"/>
        <v>0</v>
      </c>
    </row>
    <row r="12" spans="1:51" x14ac:dyDescent="0.25">
      <c r="B12" s="46" t="s">
        <v>28</v>
      </c>
      <c r="C12" s="42" t="s">
        <v>21</v>
      </c>
      <c r="D12" s="53">
        <v>1</v>
      </c>
      <c r="E12" s="34">
        <v>250000</v>
      </c>
      <c r="F12" s="94">
        <v>250000</v>
      </c>
      <c r="G12" s="119"/>
      <c r="H12" s="40"/>
      <c r="I12" s="36">
        <v>0.125</v>
      </c>
      <c r="J12" s="37">
        <f t="shared" si="2"/>
        <v>31250</v>
      </c>
      <c r="K12" s="38">
        <v>1</v>
      </c>
      <c r="L12" s="39">
        <f t="shared" si="3"/>
        <v>31250</v>
      </c>
      <c r="M12" s="40"/>
      <c r="N12" s="36">
        <v>0.125</v>
      </c>
      <c r="O12" s="37">
        <f t="shared" si="4"/>
        <v>31250</v>
      </c>
      <c r="P12" s="38">
        <v>1</v>
      </c>
      <c r="Q12" s="39">
        <f t="shared" si="5"/>
        <v>31250</v>
      </c>
      <c r="R12" s="40"/>
      <c r="S12" s="36">
        <v>0.125</v>
      </c>
      <c r="T12" s="37">
        <f t="shared" si="6"/>
        <v>31250</v>
      </c>
      <c r="U12" s="38">
        <v>1</v>
      </c>
      <c r="V12" s="39">
        <f t="shared" si="7"/>
        <v>31250</v>
      </c>
      <c r="W12" s="40"/>
      <c r="X12" s="36">
        <v>0.125</v>
      </c>
      <c r="Y12" s="37">
        <f t="shared" si="8"/>
        <v>31250</v>
      </c>
      <c r="Z12" s="38">
        <v>1</v>
      </c>
      <c r="AA12" s="39">
        <f t="shared" si="9"/>
        <v>31250</v>
      </c>
      <c r="AB12" s="40"/>
      <c r="AC12" s="36">
        <v>0.125</v>
      </c>
      <c r="AD12" s="37">
        <f t="shared" si="10"/>
        <v>31250</v>
      </c>
      <c r="AE12" s="38">
        <v>1</v>
      </c>
      <c r="AF12" s="39">
        <f t="shared" si="11"/>
        <v>31250</v>
      </c>
      <c r="AG12" s="40"/>
      <c r="AH12" s="36">
        <v>0.125</v>
      </c>
      <c r="AI12" s="37">
        <f t="shared" si="12"/>
        <v>31250</v>
      </c>
      <c r="AJ12" s="38">
        <v>1</v>
      </c>
      <c r="AK12" s="39">
        <f t="shared" si="13"/>
        <v>31250</v>
      </c>
      <c r="AL12" s="40"/>
      <c r="AM12" s="36">
        <v>0.125</v>
      </c>
      <c r="AN12" s="37">
        <f t="shared" si="14"/>
        <v>31250</v>
      </c>
      <c r="AO12" s="38">
        <v>1</v>
      </c>
      <c r="AP12" s="39">
        <f t="shared" si="15"/>
        <v>31250</v>
      </c>
      <c r="AQ12" s="40"/>
      <c r="AR12" s="36">
        <v>0.125</v>
      </c>
      <c r="AS12" s="37">
        <f t="shared" si="16"/>
        <v>31250</v>
      </c>
      <c r="AT12" s="38">
        <v>1</v>
      </c>
      <c r="AU12" s="39">
        <f t="shared" si="17"/>
        <v>31250</v>
      </c>
      <c r="AV12" s="41">
        <f t="shared" si="0"/>
        <v>250000</v>
      </c>
      <c r="AW12" s="41">
        <f t="shared" si="1"/>
        <v>250000</v>
      </c>
      <c r="AX12" s="41">
        <f t="shared" si="18"/>
        <v>250000</v>
      </c>
      <c r="AY12" s="16">
        <f t="shared" si="19"/>
        <v>0</v>
      </c>
    </row>
    <row r="13" spans="1:51" x14ac:dyDescent="0.25">
      <c r="B13" s="48" t="s">
        <v>29</v>
      </c>
      <c r="C13" s="42" t="s">
        <v>21</v>
      </c>
      <c r="D13" s="53">
        <v>1</v>
      </c>
      <c r="E13" s="34">
        <v>650000</v>
      </c>
      <c r="F13" s="94">
        <v>650000</v>
      </c>
      <c r="G13" s="119"/>
      <c r="H13" s="40"/>
      <c r="I13" s="36"/>
      <c r="J13" s="37">
        <f t="shared" si="2"/>
        <v>0</v>
      </c>
      <c r="K13" s="38"/>
      <c r="L13" s="39">
        <f t="shared" si="3"/>
        <v>0</v>
      </c>
      <c r="M13" s="40"/>
      <c r="N13" s="36"/>
      <c r="O13" s="37">
        <f t="shared" si="4"/>
        <v>0</v>
      </c>
      <c r="P13" s="38"/>
      <c r="Q13" s="39">
        <f t="shared" si="5"/>
        <v>0</v>
      </c>
      <c r="R13" s="40"/>
      <c r="S13" s="36"/>
      <c r="T13" s="37">
        <f t="shared" si="6"/>
        <v>0</v>
      </c>
      <c r="U13" s="38"/>
      <c r="V13" s="39">
        <f t="shared" si="7"/>
        <v>0</v>
      </c>
      <c r="W13" s="40"/>
      <c r="X13" s="36">
        <v>0.05</v>
      </c>
      <c r="Y13" s="37">
        <f t="shared" si="8"/>
        <v>32500</v>
      </c>
      <c r="Z13" s="38">
        <v>1</v>
      </c>
      <c r="AA13" s="39">
        <f t="shared" si="9"/>
        <v>32500</v>
      </c>
      <c r="AB13" s="40"/>
      <c r="AC13" s="36">
        <v>0.95</v>
      </c>
      <c r="AD13" s="37">
        <f t="shared" si="10"/>
        <v>617500</v>
      </c>
      <c r="AE13" s="38">
        <v>1</v>
      </c>
      <c r="AF13" s="39">
        <f t="shared" si="11"/>
        <v>617500</v>
      </c>
      <c r="AG13" s="40"/>
      <c r="AH13" s="36"/>
      <c r="AI13" s="37">
        <f t="shared" si="12"/>
        <v>0</v>
      </c>
      <c r="AJ13" s="38"/>
      <c r="AK13" s="39">
        <f t="shared" si="13"/>
        <v>0</v>
      </c>
      <c r="AL13" s="40"/>
      <c r="AM13" s="36"/>
      <c r="AN13" s="37">
        <f t="shared" si="14"/>
        <v>0</v>
      </c>
      <c r="AO13" s="38"/>
      <c r="AP13" s="39">
        <f t="shared" si="15"/>
        <v>0</v>
      </c>
      <c r="AQ13" s="40"/>
      <c r="AR13" s="36"/>
      <c r="AS13" s="37">
        <f t="shared" si="16"/>
        <v>0</v>
      </c>
      <c r="AT13" s="38"/>
      <c r="AU13" s="39">
        <f t="shared" si="17"/>
        <v>0</v>
      </c>
      <c r="AV13" s="41">
        <f t="shared" si="0"/>
        <v>650000</v>
      </c>
      <c r="AW13" s="41">
        <f t="shared" si="1"/>
        <v>650000</v>
      </c>
      <c r="AX13" s="41">
        <f t="shared" si="18"/>
        <v>650000</v>
      </c>
      <c r="AY13" s="16">
        <f t="shared" si="19"/>
        <v>0</v>
      </c>
    </row>
    <row r="14" spans="1:51" x14ac:dyDescent="0.25">
      <c r="B14" s="46" t="s">
        <v>30</v>
      </c>
      <c r="C14" s="42" t="s">
        <v>21</v>
      </c>
      <c r="D14" s="53">
        <v>1</v>
      </c>
      <c r="E14" s="34">
        <v>200000</v>
      </c>
      <c r="F14" s="94">
        <v>200000</v>
      </c>
      <c r="G14" s="119"/>
      <c r="H14" s="40"/>
      <c r="I14" s="36"/>
      <c r="J14" s="37">
        <f t="shared" si="2"/>
        <v>0</v>
      </c>
      <c r="K14" s="38"/>
      <c r="L14" s="39">
        <f t="shared" si="3"/>
        <v>0</v>
      </c>
      <c r="M14" s="40"/>
      <c r="N14" s="36"/>
      <c r="O14" s="37">
        <f t="shared" si="4"/>
        <v>0</v>
      </c>
      <c r="P14" s="38"/>
      <c r="Q14" s="39">
        <f t="shared" si="5"/>
        <v>0</v>
      </c>
      <c r="R14" s="40"/>
      <c r="S14" s="36"/>
      <c r="T14" s="37">
        <f t="shared" si="6"/>
        <v>0</v>
      </c>
      <c r="U14" s="38"/>
      <c r="V14" s="39">
        <f t="shared" si="7"/>
        <v>0</v>
      </c>
      <c r="W14" s="40"/>
      <c r="X14" s="36"/>
      <c r="Y14" s="37">
        <f t="shared" si="8"/>
        <v>0</v>
      </c>
      <c r="Z14" s="38"/>
      <c r="AA14" s="39">
        <f t="shared" si="9"/>
        <v>0</v>
      </c>
      <c r="AB14" s="40"/>
      <c r="AC14" s="36"/>
      <c r="AD14" s="37">
        <f t="shared" si="10"/>
        <v>0</v>
      </c>
      <c r="AE14" s="38"/>
      <c r="AF14" s="39">
        <f t="shared" si="11"/>
        <v>0</v>
      </c>
      <c r="AG14" s="40"/>
      <c r="AH14" s="36">
        <v>1</v>
      </c>
      <c r="AI14" s="37">
        <f t="shared" si="12"/>
        <v>200000</v>
      </c>
      <c r="AJ14" s="38">
        <v>1</v>
      </c>
      <c r="AK14" s="39">
        <f t="shared" si="13"/>
        <v>200000</v>
      </c>
      <c r="AL14" s="40"/>
      <c r="AM14" s="36"/>
      <c r="AN14" s="37">
        <f t="shared" si="14"/>
        <v>0</v>
      </c>
      <c r="AO14" s="38"/>
      <c r="AP14" s="39">
        <f t="shared" si="15"/>
        <v>0</v>
      </c>
      <c r="AQ14" s="40"/>
      <c r="AR14" s="36"/>
      <c r="AS14" s="37">
        <f t="shared" si="16"/>
        <v>0</v>
      </c>
      <c r="AT14" s="38"/>
      <c r="AU14" s="39">
        <f t="shared" si="17"/>
        <v>0</v>
      </c>
      <c r="AV14" s="41">
        <f t="shared" si="0"/>
        <v>200000</v>
      </c>
      <c r="AW14" s="41">
        <f t="shared" si="1"/>
        <v>200000</v>
      </c>
      <c r="AX14" s="41">
        <f t="shared" si="18"/>
        <v>200000</v>
      </c>
      <c r="AY14" s="16">
        <f t="shared" si="19"/>
        <v>0</v>
      </c>
    </row>
    <row r="15" spans="1:51" x14ac:dyDescent="0.25">
      <c r="A15" s="2"/>
      <c r="B15" s="2" t="s">
        <v>31</v>
      </c>
      <c r="C15" s="42" t="s">
        <v>27</v>
      </c>
      <c r="D15" s="53">
        <v>500000</v>
      </c>
      <c r="E15" s="49">
        <v>0.35</v>
      </c>
      <c r="F15" s="94">
        <v>175000</v>
      </c>
      <c r="G15" s="119"/>
      <c r="H15" s="40"/>
      <c r="I15" s="36"/>
      <c r="J15" s="37">
        <f t="shared" si="2"/>
        <v>0</v>
      </c>
      <c r="K15" s="38"/>
      <c r="L15" s="39">
        <f t="shared" si="3"/>
        <v>0</v>
      </c>
      <c r="M15" s="40"/>
      <c r="N15" s="36">
        <v>1</v>
      </c>
      <c r="O15" s="37">
        <f t="shared" si="4"/>
        <v>175000</v>
      </c>
      <c r="P15" s="38">
        <v>1</v>
      </c>
      <c r="Q15" s="39">
        <f t="shared" si="5"/>
        <v>175000</v>
      </c>
      <c r="R15" s="40"/>
      <c r="S15" s="36"/>
      <c r="T15" s="37">
        <f t="shared" si="6"/>
        <v>0</v>
      </c>
      <c r="U15" s="38"/>
      <c r="V15" s="39">
        <f t="shared" si="7"/>
        <v>0</v>
      </c>
      <c r="W15" s="40"/>
      <c r="X15" s="36"/>
      <c r="Y15" s="37">
        <f t="shared" si="8"/>
        <v>0</v>
      </c>
      <c r="Z15" s="38"/>
      <c r="AA15" s="39">
        <f t="shared" si="9"/>
        <v>0</v>
      </c>
      <c r="AB15" s="40"/>
      <c r="AC15" s="36"/>
      <c r="AD15" s="37">
        <f t="shared" si="10"/>
        <v>0</v>
      </c>
      <c r="AE15" s="38"/>
      <c r="AF15" s="39">
        <f t="shared" si="11"/>
        <v>0</v>
      </c>
      <c r="AG15" s="40"/>
      <c r="AH15" s="36"/>
      <c r="AI15" s="37">
        <f t="shared" si="12"/>
        <v>0</v>
      </c>
      <c r="AJ15" s="38"/>
      <c r="AK15" s="39">
        <f t="shared" si="13"/>
        <v>0</v>
      </c>
      <c r="AL15" s="40"/>
      <c r="AM15" s="36"/>
      <c r="AN15" s="37">
        <f t="shared" si="14"/>
        <v>0</v>
      </c>
      <c r="AO15" s="38"/>
      <c r="AP15" s="39">
        <f t="shared" si="15"/>
        <v>0</v>
      </c>
      <c r="AQ15" s="40"/>
      <c r="AR15" s="36"/>
      <c r="AS15" s="37">
        <f t="shared" si="16"/>
        <v>0</v>
      </c>
      <c r="AT15" s="38"/>
      <c r="AU15" s="39">
        <f t="shared" si="17"/>
        <v>0</v>
      </c>
      <c r="AV15" s="41">
        <f t="shared" si="0"/>
        <v>175000</v>
      </c>
      <c r="AW15" s="41">
        <f t="shared" si="1"/>
        <v>175000</v>
      </c>
      <c r="AX15" s="41">
        <f t="shared" si="18"/>
        <v>175000</v>
      </c>
      <c r="AY15" s="16">
        <f t="shared" si="19"/>
        <v>0</v>
      </c>
    </row>
    <row r="16" spans="1:51" x14ac:dyDescent="0.25">
      <c r="B16" s="44"/>
      <c r="C16" s="42"/>
      <c r="D16" s="53"/>
      <c r="E16" s="50"/>
      <c r="F16" s="34">
        <v>0</v>
      </c>
      <c r="G16" s="118"/>
      <c r="H16" s="40"/>
      <c r="I16" s="36"/>
      <c r="J16" s="37">
        <f t="shared" si="2"/>
        <v>0</v>
      </c>
      <c r="K16" s="38"/>
      <c r="L16" s="39">
        <f t="shared" si="3"/>
        <v>0</v>
      </c>
      <c r="M16" s="40"/>
      <c r="N16" s="36"/>
      <c r="O16" s="37">
        <f t="shared" si="4"/>
        <v>0</v>
      </c>
      <c r="P16" s="38"/>
      <c r="Q16" s="39">
        <f t="shared" si="5"/>
        <v>0</v>
      </c>
      <c r="R16" s="40"/>
      <c r="S16" s="36"/>
      <c r="T16" s="37">
        <f t="shared" si="6"/>
        <v>0</v>
      </c>
      <c r="U16" s="38"/>
      <c r="V16" s="39">
        <f t="shared" si="7"/>
        <v>0</v>
      </c>
      <c r="W16" s="40"/>
      <c r="X16" s="36"/>
      <c r="Y16" s="37">
        <f t="shared" si="8"/>
        <v>0</v>
      </c>
      <c r="Z16" s="38"/>
      <c r="AA16" s="39">
        <f t="shared" si="9"/>
        <v>0</v>
      </c>
      <c r="AB16" s="40"/>
      <c r="AC16" s="36"/>
      <c r="AD16" s="37">
        <f t="shared" si="10"/>
        <v>0</v>
      </c>
      <c r="AE16" s="38"/>
      <c r="AF16" s="39">
        <f t="shared" si="11"/>
        <v>0</v>
      </c>
      <c r="AG16" s="40"/>
      <c r="AH16" s="36"/>
      <c r="AI16" s="37">
        <f t="shared" si="12"/>
        <v>0</v>
      </c>
      <c r="AJ16" s="38"/>
      <c r="AK16" s="39">
        <f t="shared" si="13"/>
        <v>0</v>
      </c>
      <c r="AL16" s="40"/>
      <c r="AM16" s="36"/>
      <c r="AN16" s="37">
        <f t="shared" si="14"/>
        <v>0</v>
      </c>
      <c r="AO16" s="38"/>
      <c r="AP16" s="39">
        <f t="shared" si="15"/>
        <v>0</v>
      </c>
      <c r="AQ16" s="40"/>
      <c r="AR16" s="36"/>
      <c r="AS16" s="37">
        <f t="shared" si="16"/>
        <v>0</v>
      </c>
      <c r="AT16" s="38"/>
      <c r="AU16" s="39">
        <f t="shared" si="17"/>
        <v>0</v>
      </c>
      <c r="AV16" s="41">
        <f t="shared" si="0"/>
        <v>0</v>
      </c>
      <c r="AW16" s="41">
        <f t="shared" si="1"/>
        <v>0</v>
      </c>
      <c r="AX16" s="41">
        <f t="shared" si="18"/>
        <v>0</v>
      </c>
      <c r="AY16" s="16">
        <f t="shared" si="19"/>
        <v>0</v>
      </c>
    </row>
    <row r="17" spans="1:51" x14ac:dyDescent="0.25">
      <c r="A17" s="1" t="s">
        <v>179</v>
      </c>
      <c r="C17" s="42"/>
      <c r="D17" s="53"/>
      <c r="E17" s="34"/>
      <c r="F17" s="34">
        <v>0</v>
      </c>
      <c r="G17" s="118"/>
      <c r="H17" s="40"/>
      <c r="I17" s="36"/>
      <c r="J17" s="37">
        <f t="shared" si="2"/>
        <v>0</v>
      </c>
      <c r="K17" s="38"/>
      <c r="L17" s="39">
        <f t="shared" si="3"/>
        <v>0</v>
      </c>
      <c r="M17" s="40"/>
      <c r="N17" s="36"/>
      <c r="O17" s="37">
        <f t="shared" si="4"/>
        <v>0</v>
      </c>
      <c r="P17" s="38"/>
      <c r="Q17" s="39">
        <f t="shared" si="5"/>
        <v>0</v>
      </c>
      <c r="R17" s="40"/>
      <c r="S17" s="36"/>
      <c r="T17" s="37">
        <f t="shared" si="6"/>
        <v>0</v>
      </c>
      <c r="U17" s="38"/>
      <c r="V17" s="39">
        <f t="shared" si="7"/>
        <v>0</v>
      </c>
      <c r="W17" s="40"/>
      <c r="X17" s="36"/>
      <c r="Y17" s="37">
        <f t="shared" si="8"/>
        <v>0</v>
      </c>
      <c r="Z17" s="38"/>
      <c r="AA17" s="39">
        <f t="shared" si="9"/>
        <v>0</v>
      </c>
      <c r="AB17" s="40"/>
      <c r="AC17" s="36"/>
      <c r="AD17" s="37">
        <f t="shared" si="10"/>
        <v>0</v>
      </c>
      <c r="AE17" s="38"/>
      <c r="AF17" s="39">
        <f t="shared" si="11"/>
        <v>0</v>
      </c>
      <c r="AG17" s="40"/>
      <c r="AH17" s="36"/>
      <c r="AI17" s="37">
        <f t="shared" si="12"/>
        <v>0</v>
      </c>
      <c r="AJ17" s="38"/>
      <c r="AK17" s="39">
        <f t="shared" si="13"/>
        <v>0</v>
      </c>
      <c r="AL17" s="40"/>
      <c r="AM17" s="36"/>
      <c r="AN17" s="37">
        <f t="shared" si="14"/>
        <v>0</v>
      </c>
      <c r="AO17" s="38"/>
      <c r="AP17" s="39">
        <f t="shared" si="15"/>
        <v>0</v>
      </c>
      <c r="AQ17" s="40"/>
      <c r="AR17" s="36"/>
      <c r="AS17" s="37">
        <f t="shared" si="16"/>
        <v>0</v>
      </c>
      <c r="AT17" s="38"/>
      <c r="AU17" s="39">
        <f t="shared" si="17"/>
        <v>0</v>
      </c>
      <c r="AV17" s="41">
        <f t="shared" si="0"/>
        <v>0</v>
      </c>
      <c r="AW17" s="41">
        <f t="shared" si="1"/>
        <v>0</v>
      </c>
      <c r="AX17" s="41">
        <f t="shared" si="18"/>
        <v>0</v>
      </c>
      <c r="AY17" s="16">
        <f t="shared" si="19"/>
        <v>0</v>
      </c>
    </row>
    <row r="18" spans="1:51" x14ac:dyDescent="0.25">
      <c r="B18" s="46" t="s">
        <v>32</v>
      </c>
      <c r="C18" s="42" t="s">
        <v>33</v>
      </c>
      <c r="D18" s="53">
        <v>93040</v>
      </c>
      <c r="E18" s="34">
        <v>240</v>
      </c>
      <c r="F18" s="94">
        <v>22329600</v>
      </c>
      <c r="G18" s="119"/>
      <c r="H18" s="40"/>
      <c r="I18" s="36"/>
      <c r="J18" s="37">
        <f t="shared" si="2"/>
        <v>0</v>
      </c>
      <c r="K18" s="38"/>
      <c r="L18" s="39">
        <f t="shared" si="3"/>
        <v>0</v>
      </c>
      <c r="M18" s="40"/>
      <c r="N18" s="36"/>
      <c r="O18" s="37">
        <f t="shared" si="4"/>
        <v>0</v>
      </c>
      <c r="P18" s="38"/>
      <c r="Q18" s="39">
        <f t="shared" si="5"/>
        <v>0</v>
      </c>
      <c r="R18" s="40"/>
      <c r="S18" s="36">
        <v>0.6</v>
      </c>
      <c r="T18" s="37">
        <f t="shared" si="6"/>
        <v>13397760</v>
      </c>
      <c r="U18" s="38">
        <v>1</v>
      </c>
      <c r="V18" s="39">
        <f t="shared" si="7"/>
        <v>13397760</v>
      </c>
      <c r="W18" s="40"/>
      <c r="X18" s="36">
        <v>0.2</v>
      </c>
      <c r="Y18" s="37">
        <f t="shared" si="8"/>
        <v>4465920</v>
      </c>
      <c r="Z18" s="38">
        <v>1</v>
      </c>
      <c r="AA18" s="39">
        <f t="shared" si="9"/>
        <v>4465920</v>
      </c>
      <c r="AB18" s="40"/>
      <c r="AC18" s="36">
        <v>0.15</v>
      </c>
      <c r="AD18" s="37">
        <f t="shared" si="10"/>
        <v>3349440</v>
      </c>
      <c r="AE18" s="38">
        <v>1</v>
      </c>
      <c r="AF18" s="39">
        <f t="shared" si="11"/>
        <v>3349440</v>
      </c>
      <c r="AG18" s="40"/>
      <c r="AH18" s="36">
        <v>0.05</v>
      </c>
      <c r="AI18" s="37">
        <f t="shared" si="12"/>
        <v>1116480</v>
      </c>
      <c r="AJ18" s="38">
        <v>1</v>
      </c>
      <c r="AK18" s="39">
        <f t="shared" si="13"/>
        <v>1116480</v>
      </c>
      <c r="AL18" s="40"/>
      <c r="AM18" s="36"/>
      <c r="AN18" s="37">
        <f t="shared" si="14"/>
        <v>0</v>
      </c>
      <c r="AO18" s="38"/>
      <c r="AP18" s="39">
        <f t="shared" si="15"/>
        <v>0</v>
      </c>
      <c r="AQ18" s="40"/>
      <c r="AR18" s="36"/>
      <c r="AS18" s="37">
        <f t="shared" si="16"/>
        <v>0</v>
      </c>
      <c r="AT18" s="38"/>
      <c r="AU18" s="39">
        <f t="shared" si="17"/>
        <v>0</v>
      </c>
      <c r="AV18" s="41">
        <f t="shared" si="0"/>
        <v>22329600</v>
      </c>
      <c r="AW18" s="41">
        <f t="shared" si="1"/>
        <v>22329600</v>
      </c>
      <c r="AX18" s="41">
        <f t="shared" si="18"/>
        <v>22329600</v>
      </c>
      <c r="AY18" s="16">
        <f t="shared" si="19"/>
        <v>0</v>
      </c>
    </row>
    <row r="19" spans="1:51" x14ac:dyDescent="0.25">
      <c r="B19" s="46" t="s">
        <v>34</v>
      </c>
      <c r="C19" s="42" t="s">
        <v>33</v>
      </c>
      <c r="D19" s="53">
        <v>93040</v>
      </c>
      <c r="E19" s="34">
        <v>-257.89473684210526</v>
      </c>
      <c r="F19" s="94">
        <v>-23994526.315789472</v>
      </c>
      <c r="G19" s="119"/>
      <c r="H19" s="40"/>
      <c r="I19" s="36"/>
      <c r="J19" s="37">
        <f t="shared" si="2"/>
        <v>0</v>
      </c>
      <c r="K19" s="38"/>
      <c r="L19" s="39">
        <f t="shared" si="3"/>
        <v>0</v>
      </c>
      <c r="M19" s="40"/>
      <c r="N19" s="36"/>
      <c r="O19" s="37">
        <f t="shared" si="4"/>
        <v>0</v>
      </c>
      <c r="P19" s="38"/>
      <c r="Q19" s="39">
        <f t="shared" si="5"/>
        <v>0</v>
      </c>
      <c r="R19" s="40"/>
      <c r="S19" s="36">
        <v>0.6</v>
      </c>
      <c r="T19" s="37">
        <f t="shared" si="6"/>
        <v>-14396715.789473683</v>
      </c>
      <c r="U19" s="38">
        <v>1</v>
      </c>
      <c r="V19" s="39">
        <f t="shared" si="7"/>
        <v>-14396715.789473683</v>
      </c>
      <c r="W19" s="40"/>
      <c r="X19" s="36">
        <v>0.25</v>
      </c>
      <c r="Y19" s="37">
        <f t="shared" si="8"/>
        <v>-5998631.5789473681</v>
      </c>
      <c r="Z19" s="38">
        <v>1</v>
      </c>
      <c r="AA19" s="39">
        <f t="shared" si="9"/>
        <v>-5998631.5789473681</v>
      </c>
      <c r="AB19" s="40"/>
      <c r="AC19" s="36">
        <v>0.15</v>
      </c>
      <c r="AD19" s="37">
        <f t="shared" si="10"/>
        <v>-3599178.9473684207</v>
      </c>
      <c r="AE19" s="38">
        <v>1</v>
      </c>
      <c r="AF19" s="39">
        <f t="shared" si="11"/>
        <v>-3599178.9473684207</v>
      </c>
      <c r="AG19" s="40"/>
      <c r="AH19" s="36"/>
      <c r="AI19" s="37">
        <f t="shared" si="12"/>
        <v>0</v>
      </c>
      <c r="AJ19" s="38"/>
      <c r="AK19" s="39">
        <f t="shared" si="13"/>
        <v>0</v>
      </c>
      <c r="AL19" s="40"/>
      <c r="AM19" s="36"/>
      <c r="AN19" s="37">
        <f t="shared" si="14"/>
        <v>0</v>
      </c>
      <c r="AO19" s="38"/>
      <c r="AP19" s="39">
        <f t="shared" si="15"/>
        <v>0</v>
      </c>
      <c r="AQ19" s="40"/>
      <c r="AR19" s="36"/>
      <c r="AS19" s="37">
        <f t="shared" si="16"/>
        <v>0</v>
      </c>
      <c r="AT19" s="38"/>
      <c r="AU19" s="39">
        <f t="shared" si="17"/>
        <v>0</v>
      </c>
      <c r="AV19" s="41">
        <f t="shared" si="0"/>
        <v>-23994526.315789472</v>
      </c>
      <c r="AW19" s="41">
        <f t="shared" si="1"/>
        <v>-23994526.315789472</v>
      </c>
      <c r="AX19" s="41">
        <f t="shared" si="18"/>
        <v>-23994526.315789472</v>
      </c>
      <c r="AY19" s="16">
        <f t="shared" si="19"/>
        <v>0</v>
      </c>
    </row>
    <row r="20" spans="1:51" x14ac:dyDescent="0.25">
      <c r="B20" s="46" t="s">
        <v>35</v>
      </c>
      <c r="C20" s="42" t="s">
        <v>36</v>
      </c>
      <c r="D20" s="53">
        <v>837360</v>
      </c>
      <c r="E20" s="47">
        <v>-0.53184210526315778</v>
      </c>
      <c r="F20" s="94">
        <v>-445343.30526315782</v>
      </c>
      <c r="G20" s="119"/>
      <c r="H20" s="40"/>
      <c r="I20" s="36"/>
      <c r="J20" s="37">
        <f t="shared" si="2"/>
        <v>0</v>
      </c>
      <c r="K20" s="38"/>
      <c r="L20" s="39">
        <f t="shared" si="3"/>
        <v>0</v>
      </c>
      <c r="M20" s="40"/>
      <c r="N20" s="36"/>
      <c r="O20" s="37">
        <f t="shared" si="4"/>
        <v>0</v>
      </c>
      <c r="P20" s="38"/>
      <c r="Q20" s="39">
        <f t="shared" si="5"/>
        <v>0</v>
      </c>
      <c r="R20" s="40"/>
      <c r="S20" s="36"/>
      <c r="T20" s="37">
        <f t="shared" si="6"/>
        <v>0</v>
      </c>
      <c r="U20" s="38"/>
      <c r="V20" s="39">
        <f t="shared" si="7"/>
        <v>0</v>
      </c>
      <c r="W20" s="40"/>
      <c r="X20" s="36">
        <v>1</v>
      </c>
      <c r="Y20" s="37">
        <f t="shared" si="8"/>
        <v>-445343.30526315782</v>
      </c>
      <c r="Z20" s="38">
        <v>1</v>
      </c>
      <c r="AA20" s="39">
        <f t="shared" si="9"/>
        <v>-445343.30526315782</v>
      </c>
      <c r="AB20" s="40"/>
      <c r="AC20" s="36"/>
      <c r="AD20" s="37">
        <f t="shared" si="10"/>
        <v>0</v>
      </c>
      <c r="AE20" s="38"/>
      <c r="AF20" s="39">
        <f t="shared" si="11"/>
        <v>0</v>
      </c>
      <c r="AG20" s="40"/>
      <c r="AH20" s="36"/>
      <c r="AI20" s="37">
        <f t="shared" si="12"/>
        <v>0</v>
      </c>
      <c r="AJ20" s="38"/>
      <c r="AK20" s="39">
        <f t="shared" si="13"/>
        <v>0</v>
      </c>
      <c r="AL20" s="40"/>
      <c r="AM20" s="36"/>
      <c r="AN20" s="37">
        <f t="shared" si="14"/>
        <v>0</v>
      </c>
      <c r="AO20" s="38"/>
      <c r="AP20" s="39">
        <f t="shared" si="15"/>
        <v>0</v>
      </c>
      <c r="AQ20" s="40"/>
      <c r="AR20" s="36"/>
      <c r="AS20" s="37">
        <f t="shared" si="16"/>
        <v>0</v>
      </c>
      <c r="AT20" s="38"/>
      <c r="AU20" s="39">
        <f t="shared" si="17"/>
        <v>0</v>
      </c>
      <c r="AV20" s="41">
        <f t="shared" si="0"/>
        <v>-445343.30526315782</v>
      </c>
      <c r="AW20" s="41">
        <f t="shared" si="1"/>
        <v>-445343.30526315782</v>
      </c>
      <c r="AX20" s="41">
        <f t="shared" si="18"/>
        <v>-445343.30526315782</v>
      </c>
      <c r="AY20" s="16">
        <f t="shared" si="19"/>
        <v>0</v>
      </c>
    </row>
    <row r="21" spans="1:51" x14ac:dyDescent="0.25">
      <c r="B21" s="46" t="s">
        <v>37</v>
      </c>
      <c r="C21" s="42" t="s">
        <v>36</v>
      </c>
      <c r="D21" s="53">
        <v>7908400</v>
      </c>
      <c r="E21" s="47">
        <v>-0.49738461538461542</v>
      </c>
      <c r="F21" s="94">
        <v>-3933516.4923076928</v>
      </c>
      <c r="G21" s="119"/>
      <c r="H21" s="40"/>
      <c r="I21" s="36"/>
      <c r="J21" s="37">
        <f t="shared" si="2"/>
        <v>0</v>
      </c>
      <c r="K21" s="38"/>
      <c r="L21" s="39">
        <f t="shared" si="3"/>
        <v>0</v>
      </c>
      <c r="M21" s="40"/>
      <c r="N21" s="36"/>
      <c r="O21" s="37">
        <f t="shared" si="4"/>
        <v>0</v>
      </c>
      <c r="P21" s="38"/>
      <c r="Q21" s="39">
        <f t="shared" si="5"/>
        <v>0</v>
      </c>
      <c r="R21" s="40"/>
      <c r="S21" s="36"/>
      <c r="T21" s="37">
        <f t="shared" si="6"/>
        <v>0</v>
      </c>
      <c r="U21" s="38"/>
      <c r="V21" s="39">
        <f t="shared" si="7"/>
        <v>0</v>
      </c>
      <c r="W21" s="40"/>
      <c r="X21" s="36">
        <v>0.2</v>
      </c>
      <c r="Y21" s="37">
        <f t="shared" si="8"/>
        <v>-786703.29846153862</v>
      </c>
      <c r="Z21" s="38">
        <v>1</v>
      </c>
      <c r="AA21" s="39">
        <f t="shared" si="9"/>
        <v>-786703.29846153862</v>
      </c>
      <c r="AB21" s="40"/>
      <c r="AC21" s="36"/>
      <c r="AD21" s="37">
        <f t="shared" si="10"/>
        <v>0</v>
      </c>
      <c r="AE21" s="38"/>
      <c r="AF21" s="39">
        <f t="shared" si="11"/>
        <v>0</v>
      </c>
      <c r="AG21" s="40"/>
      <c r="AH21" s="36">
        <v>0.8</v>
      </c>
      <c r="AI21" s="37">
        <f t="shared" si="12"/>
        <v>-3146813.1938461545</v>
      </c>
      <c r="AJ21" s="38">
        <v>1</v>
      </c>
      <c r="AK21" s="39">
        <f t="shared" si="13"/>
        <v>-3146813.1938461545</v>
      </c>
      <c r="AL21" s="40"/>
      <c r="AM21" s="36"/>
      <c r="AN21" s="37">
        <f t="shared" si="14"/>
        <v>0</v>
      </c>
      <c r="AO21" s="38"/>
      <c r="AP21" s="39">
        <f t="shared" si="15"/>
        <v>0</v>
      </c>
      <c r="AQ21" s="40"/>
      <c r="AR21" s="36"/>
      <c r="AS21" s="37">
        <f t="shared" si="16"/>
        <v>0</v>
      </c>
      <c r="AT21" s="38"/>
      <c r="AU21" s="39">
        <f t="shared" si="17"/>
        <v>0</v>
      </c>
      <c r="AV21" s="41">
        <f t="shared" si="0"/>
        <v>-3933516.4923076928</v>
      </c>
      <c r="AW21" s="41">
        <f t="shared" si="1"/>
        <v>-3933516.4923076932</v>
      </c>
      <c r="AX21" s="41">
        <f t="shared" si="18"/>
        <v>-3933516.4923076932</v>
      </c>
      <c r="AY21" s="16">
        <f t="shared" si="19"/>
        <v>0</v>
      </c>
    </row>
    <row r="22" spans="1:51" x14ac:dyDescent="0.25">
      <c r="B22" s="46" t="s">
        <v>38</v>
      </c>
      <c r="C22" s="42" t="s">
        <v>36</v>
      </c>
      <c r="D22" s="53">
        <v>1116480</v>
      </c>
      <c r="E22" s="47">
        <v>-0.31637681159420289</v>
      </c>
      <c r="F22" s="94">
        <v>-353228.38260869565</v>
      </c>
      <c r="G22" s="119"/>
      <c r="H22" s="40"/>
      <c r="I22" s="36"/>
      <c r="J22" s="37">
        <f t="shared" si="2"/>
        <v>0</v>
      </c>
      <c r="K22" s="38"/>
      <c r="L22" s="39">
        <f t="shared" si="3"/>
        <v>0</v>
      </c>
      <c r="M22" s="40"/>
      <c r="N22" s="36"/>
      <c r="O22" s="37">
        <f t="shared" si="4"/>
        <v>0</v>
      </c>
      <c r="P22" s="38"/>
      <c r="Q22" s="39">
        <f t="shared" si="5"/>
        <v>0</v>
      </c>
      <c r="R22" s="40"/>
      <c r="S22" s="36"/>
      <c r="T22" s="37">
        <f t="shared" si="6"/>
        <v>0</v>
      </c>
      <c r="U22" s="38"/>
      <c r="V22" s="39">
        <f t="shared" si="7"/>
        <v>0</v>
      </c>
      <c r="W22" s="40"/>
      <c r="X22" s="36">
        <v>1</v>
      </c>
      <c r="Y22" s="37">
        <f t="shared" si="8"/>
        <v>-353228.38260869565</v>
      </c>
      <c r="Z22" s="38">
        <v>1</v>
      </c>
      <c r="AA22" s="39">
        <f t="shared" si="9"/>
        <v>-353228.38260869565</v>
      </c>
      <c r="AB22" s="40"/>
      <c r="AC22" s="36"/>
      <c r="AD22" s="37">
        <f t="shared" si="10"/>
        <v>0</v>
      </c>
      <c r="AE22" s="38"/>
      <c r="AF22" s="39">
        <f t="shared" si="11"/>
        <v>0</v>
      </c>
      <c r="AG22" s="40"/>
      <c r="AH22" s="36"/>
      <c r="AI22" s="37">
        <f t="shared" si="12"/>
        <v>0</v>
      </c>
      <c r="AJ22" s="38"/>
      <c r="AK22" s="39">
        <f t="shared" si="13"/>
        <v>0</v>
      </c>
      <c r="AL22" s="40"/>
      <c r="AM22" s="36"/>
      <c r="AN22" s="37">
        <f t="shared" si="14"/>
        <v>0</v>
      </c>
      <c r="AO22" s="38"/>
      <c r="AP22" s="39">
        <f t="shared" si="15"/>
        <v>0</v>
      </c>
      <c r="AQ22" s="40"/>
      <c r="AR22" s="36"/>
      <c r="AS22" s="37">
        <f t="shared" si="16"/>
        <v>0</v>
      </c>
      <c r="AT22" s="38"/>
      <c r="AU22" s="39">
        <f t="shared" si="17"/>
        <v>0</v>
      </c>
      <c r="AV22" s="41">
        <f t="shared" si="0"/>
        <v>-353228.38260869565</v>
      </c>
      <c r="AW22" s="41">
        <f t="shared" si="1"/>
        <v>-353228.38260869565</v>
      </c>
      <c r="AX22" s="41">
        <f t="shared" si="18"/>
        <v>-353228.38260869565</v>
      </c>
      <c r="AY22" s="16">
        <f t="shared" si="19"/>
        <v>0</v>
      </c>
    </row>
    <row r="23" spans="1:51" x14ac:dyDescent="0.25">
      <c r="B23" s="46" t="s">
        <v>39</v>
      </c>
      <c r="C23" s="42" t="s">
        <v>40</v>
      </c>
      <c r="D23" s="53">
        <v>16666.666666666668</v>
      </c>
      <c r="E23" s="34">
        <v>105</v>
      </c>
      <c r="F23" s="94">
        <v>1750000.0000000002</v>
      </c>
      <c r="G23" s="119"/>
      <c r="H23" s="40"/>
      <c r="I23" s="36"/>
      <c r="J23" s="37">
        <f t="shared" si="2"/>
        <v>0</v>
      </c>
      <c r="K23" s="38"/>
      <c r="L23" s="39">
        <f t="shared" si="3"/>
        <v>0</v>
      </c>
      <c r="M23" s="40"/>
      <c r="N23" s="36"/>
      <c r="O23" s="37">
        <f t="shared" si="4"/>
        <v>0</v>
      </c>
      <c r="P23" s="38"/>
      <c r="Q23" s="39">
        <f t="shared" si="5"/>
        <v>0</v>
      </c>
      <c r="R23" s="40"/>
      <c r="S23" s="36">
        <v>1</v>
      </c>
      <c r="T23" s="37">
        <f t="shared" si="6"/>
        <v>1750000.0000000002</v>
      </c>
      <c r="U23" s="38">
        <v>1</v>
      </c>
      <c r="V23" s="39">
        <f t="shared" si="7"/>
        <v>1750000.0000000002</v>
      </c>
      <c r="W23" s="40"/>
      <c r="X23" s="36"/>
      <c r="Y23" s="37">
        <f t="shared" si="8"/>
        <v>0</v>
      </c>
      <c r="Z23" s="38"/>
      <c r="AA23" s="39">
        <f t="shared" si="9"/>
        <v>0</v>
      </c>
      <c r="AB23" s="40"/>
      <c r="AC23" s="36"/>
      <c r="AD23" s="37">
        <f t="shared" si="10"/>
        <v>0</v>
      </c>
      <c r="AE23" s="38"/>
      <c r="AF23" s="39">
        <f t="shared" si="11"/>
        <v>0</v>
      </c>
      <c r="AG23" s="40"/>
      <c r="AH23" s="36"/>
      <c r="AI23" s="37">
        <f t="shared" si="12"/>
        <v>0</v>
      </c>
      <c r="AJ23" s="38"/>
      <c r="AK23" s="39">
        <f t="shared" si="13"/>
        <v>0</v>
      </c>
      <c r="AL23" s="40"/>
      <c r="AM23" s="36"/>
      <c r="AN23" s="37">
        <f t="shared" si="14"/>
        <v>0</v>
      </c>
      <c r="AO23" s="38"/>
      <c r="AP23" s="39">
        <f t="shared" si="15"/>
        <v>0</v>
      </c>
      <c r="AQ23" s="40"/>
      <c r="AR23" s="36"/>
      <c r="AS23" s="37">
        <f t="shared" si="16"/>
        <v>0</v>
      </c>
      <c r="AT23" s="38"/>
      <c r="AU23" s="39">
        <f t="shared" si="17"/>
        <v>0</v>
      </c>
      <c r="AV23" s="41">
        <f t="shared" si="0"/>
        <v>1750000.0000000002</v>
      </c>
      <c r="AW23" s="41">
        <f t="shared" si="1"/>
        <v>1750000.0000000002</v>
      </c>
      <c r="AX23" s="41">
        <f t="shared" si="18"/>
        <v>1750000.0000000002</v>
      </c>
      <c r="AY23" s="16">
        <f t="shared" si="19"/>
        <v>0</v>
      </c>
    </row>
    <row r="24" spans="1:51" x14ac:dyDescent="0.25">
      <c r="B24" s="48" t="s">
        <v>180</v>
      </c>
      <c r="C24" s="42" t="s">
        <v>36</v>
      </c>
      <c r="D24" s="53">
        <v>3294000</v>
      </c>
      <c r="E24" s="47">
        <v>-2.11</v>
      </c>
      <c r="F24" s="94">
        <v>-6950340</v>
      </c>
      <c r="G24" s="119"/>
      <c r="H24" s="40"/>
      <c r="I24" s="36"/>
      <c r="J24" s="37">
        <f t="shared" si="2"/>
        <v>0</v>
      </c>
      <c r="K24" s="38"/>
      <c r="L24" s="39">
        <f t="shared" si="3"/>
        <v>0</v>
      </c>
      <c r="M24" s="40"/>
      <c r="N24" s="36"/>
      <c r="O24" s="37">
        <f t="shared" si="4"/>
        <v>0</v>
      </c>
      <c r="P24" s="38"/>
      <c r="Q24" s="39">
        <f t="shared" si="5"/>
        <v>0</v>
      </c>
      <c r="R24" s="40"/>
      <c r="S24" s="36"/>
      <c r="T24" s="37">
        <f t="shared" si="6"/>
        <v>0</v>
      </c>
      <c r="U24" s="38"/>
      <c r="V24" s="39">
        <f t="shared" si="7"/>
        <v>0</v>
      </c>
      <c r="W24" s="40"/>
      <c r="X24" s="36">
        <v>0.1</v>
      </c>
      <c r="Y24" s="37">
        <f t="shared" si="8"/>
        <v>-695034</v>
      </c>
      <c r="Z24" s="38">
        <v>1</v>
      </c>
      <c r="AA24" s="39">
        <f t="shared" si="9"/>
        <v>-695034</v>
      </c>
      <c r="AB24" s="40"/>
      <c r="AC24" s="36">
        <v>0.9</v>
      </c>
      <c r="AD24" s="37">
        <f t="shared" si="10"/>
        <v>-6255306</v>
      </c>
      <c r="AE24" s="38">
        <v>1</v>
      </c>
      <c r="AF24" s="39">
        <f t="shared" si="11"/>
        <v>-6255306</v>
      </c>
      <c r="AG24" s="40"/>
      <c r="AH24" s="36"/>
      <c r="AI24" s="37">
        <f t="shared" si="12"/>
        <v>0</v>
      </c>
      <c r="AJ24" s="38"/>
      <c r="AK24" s="39">
        <f t="shared" si="13"/>
        <v>0</v>
      </c>
      <c r="AL24" s="40"/>
      <c r="AM24" s="36"/>
      <c r="AN24" s="37">
        <f t="shared" si="14"/>
        <v>0</v>
      </c>
      <c r="AO24" s="38"/>
      <c r="AP24" s="39">
        <f t="shared" si="15"/>
        <v>0</v>
      </c>
      <c r="AQ24" s="40"/>
      <c r="AR24" s="36"/>
      <c r="AS24" s="37">
        <f t="shared" si="16"/>
        <v>0</v>
      </c>
      <c r="AT24" s="38"/>
      <c r="AU24" s="39">
        <f t="shared" si="17"/>
        <v>0</v>
      </c>
      <c r="AV24" s="41">
        <f t="shared" si="0"/>
        <v>-6950340</v>
      </c>
      <c r="AW24" s="41">
        <f t="shared" si="1"/>
        <v>-6950340</v>
      </c>
      <c r="AX24" s="41">
        <f t="shared" si="18"/>
        <v>-6950340</v>
      </c>
      <c r="AY24" s="16">
        <f t="shared" si="19"/>
        <v>0</v>
      </c>
    </row>
    <row r="25" spans="1:51" x14ac:dyDescent="0.25">
      <c r="A25" s="2"/>
      <c r="B25" s="51" t="s">
        <v>41</v>
      </c>
      <c r="C25" s="42" t="s">
        <v>33</v>
      </c>
      <c r="D25" s="53">
        <v>2093.4</v>
      </c>
      <c r="E25" s="34">
        <v>65</v>
      </c>
      <c r="F25" s="94">
        <v>136071</v>
      </c>
      <c r="G25" s="119"/>
      <c r="H25" s="40"/>
      <c r="I25" s="36"/>
      <c r="J25" s="37">
        <f t="shared" si="2"/>
        <v>0</v>
      </c>
      <c r="K25" s="38"/>
      <c r="L25" s="39">
        <f t="shared" si="3"/>
        <v>0</v>
      </c>
      <c r="M25" s="40"/>
      <c r="N25" s="36">
        <v>0.14285714285714288</v>
      </c>
      <c r="O25" s="37">
        <f t="shared" si="4"/>
        <v>19438.71428571429</v>
      </c>
      <c r="P25" s="38">
        <v>1</v>
      </c>
      <c r="Q25" s="39">
        <f t="shared" si="5"/>
        <v>19438.71428571429</v>
      </c>
      <c r="R25" s="40"/>
      <c r="S25" s="36">
        <v>0.14285714285714288</v>
      </c>
      <c r="T25" s="37">
        <f t="shared" si="6"/>
        <v>19438.71428571429</v>
      </c>
      <c r="U25" s="38">
        <v>1</v>
      </c>
      <c r="V25" s="39">
        <f t="shared" si="7"/>
        <v>19438.71428571429</v>
      </c>
      <c r="W25" s="40"/>
      <c r="X25" s="36">
        <v>0.14285714285714288</v>
      </c>
      <c r="Y25" s="37">
        <f t="shared" si="8"/>
        <v>19438.71428571429</v>
      </c>
      <c r="Z25" s="38">
        <v>1</v>
      </c>
      <c r="AA25" s="39">
        <f t="shared" si="9"/>
        <v>19438.71428571429</v>
      </c>
      <c r="AB25" s="40"/>
      <c r="AC25" s="36">
        <v>0.14285714285714288</v>
      </c>
      <c r="AD25" s="37">
        <f t="shared" si="10"/>
        <v>19438.71428571429</v>
      </c>
      <c r="AE25" s="38">
        <v>1</v>
      </c>
      <c r="AF25" s="39">
        <f t="shared" si="11"/>
        <v>19438.71428571429</v>
      </c>
      <c r="AG25" s="40"/>
      <c r="AH25" s="36">
        <v>0.14285714285714288</v>
      </c>
      <c r="AI25" s="37">
        <f t="shared" si="12"/>
        <v>19438.71428571429</v>
      </c>
      <c r="AJ25" s="38">
        <v>1</v>
      </c>
      <c r="AK25" s="39">
        <f t="shared" si="13"/>
        <v>19438.71428571429</v>
      </c>
      <c r="AL25" s="40"/>
      <c r="AM25" s="36">
        <v>0.14285714285714288</v>
      </c>
      <c r="AN25" s="37">
        <f t="shared" si="14"/>
        <v>19438.71428571429</v>
      </c>
      <c r="AO25" s="38">
        <v>1</v>
      </c>
      <c r="AP25" s="39">
        <f t="shared" si="15"/>
        <v>19438.71428571429</v>
      </c>
      <c r="AQ25" s="40"/>
      <c r="AR25" s="36">
        <v>0.14285714285714288</v>
      </c>
      <c r="AS25" s="37">
        <f t="shared" si="16"/>
        <v>19438.71428571429</v>
      </c>
      <c r="AT25" s="38">
        <v>1</v>
      </c>
      <c r="AU25" s="39">
        <f t="shared" si="17"/>
        <v>19438.71428571429</v>
      </c>
      <c r="AV25" s="41">
        <f t="shared" si="0"/>
        <v>136071</v>
      </c>
      <c r="AW25" s="41">
        <f t="shared" si="1"/>
        <v>136071.00000000003</v>
      </c>
      <c r="AX25" s="41">
        <f t="shared" si="18"/>
        <v>136071.00000000003</v>
      </c>
      <c r="AY25" s="16">
        <f t="shared" si="19"/>
        <v>0</v>
      </c>
    </row>
    <row r="26" spans="1:51" x14ac:dyDescent="0.25">
      <c r="B26" s="46" t="s">
        <v>181</v>
      </c>
      <c r="C26" s="42" t="s">
        <v>42</v>
      </c>
      <c r="D26" s="53">
        <v>2</v>
      </c>
      <c r="E26" s="34">
        <v>550000</v>
      </c>
      <c r="F26" s="94">
        <v>1100000</v>
      </c>
      <c r="G26" s="119"/>
      <c r="H26" s="40"/>
      <c r="I26" s="36"/>
      <c r="J26" s="37">
        <f t="shared" si="2"/>
        <v>0</v>
      </c>
      <c r="K26" s="38"/>
      <c r="L26" s="39">
        <f t="shared" si="3"/>
        <v>0</v>
      </c>
      <c r="M26" s="40"/>
      <c r="N26" s="36"/>
      <c r="O26" s="37">
        <f t="shared" si="4"/>
        <v>0</v>
      </c>
      <c r="P26" s="38"/>
      <c r="Q26" s="39">
        <f t="shared" si="5"/>
        <v>0</v>
      </c>
      <c r="R26" s="40"/>
      <c r="S26" s="36">
        <v>0.8</v>
      </c>
      <c r="T26" s="37">
        <f t="shared" si="6"/>
        <v>880000</v>
      </c>
      <c r="U26" s="38">
        <v>1</v>
      </c>
      <c r="V26" s="39">
        <f t="shared" si="7"/>
        <v>880000</v>
      </c>
      <c r="W26" s="40"/>
      <c r="X26" s="36">
        <v>0.2</v>
      </c>
      <c r="Y26" s="37">
        <f t="shared" si="8"/>
        <v>220000</v>
      </c>
      <c r="Z26" s="38">
        <v>1</v>
      </c>
      <c r="AA26" s="39">
        <f t="shared" si="9"/>
        <v>220000</v>
      </c>
      <c r="AB26" s="40"/>
      <c r="AC26" s="36"/>
      <c r="AD26" s="37">
        <f t="shared" si="10"/>
        <v>0</v>
      </c>
      <c r="AE26" s="38"/>
      <c r="AF26" s="39">
        <f t="shared" si="11"/>
        <v>0</v>
      </c>
      <c r="AG26" s="40"/>
      <c r="AH26" s="36"/>
      <c r="AI26" s="37">
        <f t="shared" si="12"/>
        <v>0</v>
      </c>
      <c r="AJ26" s="38"/>
      <c r="AK26" s="39">
        <f t="shared" si="13"/>
        <v>0</v>
      </c>
      <c r="AL26" s="40"/>
      <c r="AM26" s="36"/>
      <c r="AN26" s="37">
        <f t="shared" si="14"/>
        <v>0</v>
      </c>
      <c r="AO26" s="38"/>
      <c r="AP26" s="39">
        <f t="shared" si="15"/>
        <v>0</v>
      </c>
      <c r="AQ26" s="40"/>
      <c r="AR26" s="36"/>
      <c r="AS26" s="37">
        <f t="shared" si="16"/>
        <v>0</v>
      </c>
      <c r="AT26" s="38"/>
      <c r="AU26" s="39">
        <f t="shared" si="17"/>
        <v>0</v>
      </c>
      <c r="AV26" s="41">
        <f t="shared" si="0"/>
        <v>1100000</v>
      </c>
      <c r="AW26" s="41">
        <f t="shared" si="1"/>
        <v>1100000</v>
      </c>
      <c r="AX26" s="41">
        <f t="shared" si="18"/>
        <v>1100000</v>
      </c>
      <c r="AY26" s="16">
        <f t="shared" si="19"/>
        <v>0</v>
      </c>
    </row>
    <row r="27" spans="1:51" x14ac:dyDescent="0.25">
      <c r="B27" s="46" t="s">
        <v>182</v>
      </c>
      <c r="C27" s="42" t="s">
        <v>42</v>
      </c>
      <c r="D27" s="53">
        <v>4</v>
      </c>
      <c r="E27" s="34">
        <v>1650000</v>
      </c>
      <c r="F27" s="94">
        <v>6600000</v>
      </c>
      <c r="G27" s="119"/>
      <c r="H27" s="40"/>
      <c r="I27" s="36"/>
      <c r="J27" s="37">
        <f t="shared" si="2"/>
        <v>0</v>
      </c>
      <c r="K27" s="38"/>
      <c r="L27" s="39">
        <f t="shared" si="3"/>
        <v>0</v>
      </c>
      <c r="M27" s="40"/>
      <c r="N27" s="36"/>
      <c r="O27" s="37">
        <f t="shared" si="4"/>
        <v>0</v>
      </c>
      <c r="P27" s="38"/>
      <c r="Q27" s="39">
        <f t="shared" si="5"/>
        <v>0</v>
      </c>
      <c r="R27" s="40"/>
      <c r="S27" s="36">
        <v>0.8</v>
      </c>
      <c r="T27" s="37">
        <f t="shared" si="6"/>
        <v>5280000</v>
      </c>
      <c r="U27" s="38">
        <v>1</v>
      </c>
      <c r="V27" s="39">
        <f t="shared" si="7"/>
        <v>5280000</v>
      </c>
      <c r="W27" s="40"/>
      <c r="X27" s="36">
        <v>0.2</v>
      </c>
      <c r="Y27" s="37">
        <f t="shared" si="8"/>
        <v>1320000</v>
      </c>
      <c r="Z27" s="38">
        <v>1</v>
      </c>
      <c r="AA27" s="39">
        <f t="shared" si="9"/>
        <v>1320000</v>
      </c>
      <c r="AB27" s="40"/>
      <c r="AC27" s="36"/>
      <c r="AD27" s="37">
        <f t="shared" si="10"/>
        <v>0</v>
      </c>
      <c r="AE27" s="38"/>
      <c r="AF27" s="39">
        <f t="shared" si="11"/>
        <v>0</v>
      </c>
      <c r="AG27" s="40"/>
      <c r="AH27" s="36"/>
      <c r="AI27" s="37">
        <f t="shared" si="12"/>
        <v>0</v>
      </c>
      <c r="AJ27" s="38"/>
      <c r="AK27" s="39">
        <f t="shared" si="13"/>
        <v>0</v>
      </c>
      <c r="AL27" s="40"/>
      <c r="AM27" s="36"/>
      <c r="AN27" s="37">
        <f t="shared" si="14"/>
        <v>0</v>
      </c>
      <c r="AO27" s="38"/>
      <c r="AP27" s="39">
        <f t="shared" si="15"/>
        <v>0</v>
      </c>
      <c r="AQ27" s="40"/>
      <c r="AR27" s="36"/>
      <c r="AS27" s="37">
        <f t="shared" si="16"/>
        <v>0</v>
      </c>
      <c r="AT27" s="38"/>
      <c r="AU27" s="39">
        <f t="shared" si="17"/>
        <v>0</v>
      </c>
      <c r="AV27" s="41">
        <f t="shared" si="0"/>
        <v>6600000</v>
      </c>
      <c r="AW27" s="41">
        <f t="shared" si="1"/>
        <v>6600000</v>
      </c>
      <c r="AX27" s="41">
        <f t="shared" si="18"/>
        <v>6600000</v>
      </c>
      <c r="AY27" s="16">
        <f t="shared" si="19"/>
        <v>0</v>
      </c>
    </row>
    <row r="28" spans="1:51" x14ac:dyDescent="0.25">
      <c r="B28" s="48" t="s">
        <v>43</v>
      </c>
      <c r="C28" s="42" t="s">
        <v>33</v>
      </c>
      <c r="D28" s="53">
        <v>18000</v>
      </c>
      <c r="E28" s="34">
        <v>15</v>
      </c>
      <c r="F28" s="94">
        <v>270000</v>
      </c>
      <c r="G28" s="119"/>
      <c r="H28" s="40"/>
      <c r="I28" s="36"/>
      <c r="J28" s="37">
        <f t="shared" si="2"/>
        <v>0</v>
      </c>
      <c r="K28" s="38"/>
      <c r="L28" s="39">
        <f t="shared" si="3"/>
        <v>0</v>
      </c>
      <c r="M28" s="40"/>
      <c r="N28" s="36">
        <v>1</v>
      </c>
      <c r="O28" s="37">
        <f t="shared" si="4"/>
        <v>270000</v>
      </c>
      <c r="P28" s="38">
        <v>1</v>
      </c>
      <c r="Q28" s="39">
        <f t="shared" si="5"/>
        <v>270000</v>
      </c>
      <c r="R28" s="40"/>
      <c r="S28" s="36"/>
      <c r="T28" s="37">
        <f t="shared" si="6"/>
        <v>0</v>
      </c>
      <c r="U28" s="38"/>
      <c r="V28" s="39">
        <f t="shared" si="7"/>
        <v>0</v>
      </c>
      <c r="W28" s="40"/>
      <c r="X28" s="36"/>
      <c r="Y28" s="37">
        <f t="shared" si="8"/>
        <v>0</v>
      </c>
      <c r="Z28" s="38"/>
      <c r="AA28" s="39">
        <f t="shared" si="9"/>
        <v>0</v>
      </c>
      <c r="AB28" s="40"/>
      <c r="AC28" s="36"/>
      <c r="AD28" s="37">
        <f t="shared" si="10"/>
        <v>0</v>
      </c>
      <c r="AE28" s="38"/>
      <c r="AF28" s="39">
        <f t="shared" si="11"/>
        <v>0</v>
      </c>
      <c r="AG28" s="40"/>
      <c r="AH28" s="36"/>
      <c r="AI28" s="37">
        <f t="shared" si="12"/>
        <v>0</v>
      </c>
      <c r="AJ28" s="38"/>
      <c r="AK28" s="39">
        <f t="shared" si="13"/>
        <v>0</v>
      </c>
      <c r="AL28" s="40"/>
      <c r="AM28" s="36"/>
      <c r="AN28" s="37">
        <f t="shared" si="14"/>
        <v>0</v>
      </c>
      <c r="AO28" s="38"/>
      <c r="AP28" s="39">
        <f t="shared" si="15"/>
        <v>0</v>
      </c>
      <c r="AQ28" s="40"/>
      <c r="AR28" s="36"/>
      <c r="AS28" s="37">
        <f t="shared" si="16"/>
        <v>0</v>
      </c>
      <c r="AT28" s="38"/>
      <c r="AU28" s="39">
        <f t="shared" si="17"/>
        <v>0</v>
      </c>
      <c r="AV28" s="41">
        <f t="shared" si="0"/>
        <v>270000</v>
      </c>
      <c r="AW28" s="41">
        <f t="shared" si="1"/>
        <v>270000</v>
      </c>
      <c r="AX28" s="41">
        <f t="shared" si="18"/>
        <v>270000</v>
      </c>
      <c r="AY28" s="16">
        <f t="shared" si="19"/>
        <v>0</v>
      </c>
    </row>
    <row r="29" spans="1:51" x14ac:dyDescent="0.25">
      <c r="B29" s="46" t="s">
        <v>164</v>
      </c>
      <c r="C29" s="42" t="s">
        <v>33</v>
      </c>
      <c r="D29" s="53">
        <v>480</v>
      </c>
      <c r="E29" s="34">
        <v>-619.38461538461536</v>
      </c>
      <c r="F29" s="94">
        <v>-1774151.0464615384</v>
      </c>
      <c r="G29" s="119"/>
      <c r="H29" s="40"/>
      <c r="I29" s="36"/>
      <c r="J29" s="37">
        <f t="shared" si="2"/>
        <v>0</v>
      </c>
      <c r="K29" s="38"/>
      <c r="L29" s="39">
        <f t="shared" si="3"/>
        <v>0</v>
      </c>
      <c r="M29" s="40"/>
      <c r="N29" s="36"/>
      <c r="O29" s="37">
        <f t="shared" si="4"/>
        <v>0</v>
      </c>
      <c r="P29" s="38"/>
      <c r="Q29" s="39">
        <f t="shared" si="5"/>
        <v>0</v>
      </c>
      <c r="R29" s="40"/>
      <c r="S29" s="36"/>
      <c r="T29" s="37">
        <f t="shared" si="6"/>
        <v>0</v>
      </c>
      <c r="U29" s="38"/>
      <c r="V29" s="39">
        <f t="shared" si="7"/>
        <v>0</v>
      </c>
      <c r="W29" s="40"/>
      <c r="X29" s="36"/>
      <c r="Y29" s="37">
        <f t="shared" si="8"/>
        <v>0</v>
      </c>
      <c r="Z29" s="38"/>
      <c r="AA29" s="39">
        <f t="shared" si="9"/>
        <v>0</v>
      </c>
      <c r="AB29" s="40"/>
      <c r="AC29" s="36"/>
      <c r="AD29" s="37">
        <f t="shared" si="10"/>
        <v>0</v>
      </c>
      <c r="AE29" s="38"/>
      <c r="AF29" s="39">
        <f t="shared" si="11"/>
        <v>0</v>
      </c>
      <c r="AG29" s="40"/>
      <c r="AH29" s="36">
        <v>1</v>
      </c>
      <c r="AI29" s="37">
        <f t="shared" si="12"/>
        <v>-1774151.0464615384</v>
      </c>
      <c r="AJ29" s="38">
        <v>1</v>
      </c>
      <c r="AK29" s="39">
        <f t="shared" si="13"/>
        <v>-1774151.0464615384</v>
      </c>
      <c r="AL29" s="40"/>
      <c r="AM29" s="36"/>
      <c r="AN29" s="37">
        <f t="shared" si="14"/>
        <v>0</v>
      </c>
      <c r="AO29" s="38"/>
      <c r="AP29" s="39">
        <f t="shared" si="15"/>
        <v>0</v>
      </c>
      <c r="AQ29" s="40"/>
      <c r="AR29" s="36"/>
      <c r="AS29" s="37">
        <f t="shared" si="16"/>
        <v>0</v>
      </c>
      <c r="AT29" s="38"/>
      <c r="AU29" s="39">
        <f t="shared" si="17"/>
        <v>0</v>
      </c>
      <c r="AV29" s="41">
        <f t="shared" si="0"/>
        <v>-1774151.0464615384</v>
      </c>
      <c r="AW29" s="41">
        <f t="shared" si="1"/>
        <v>-1774151.0464615384</v>
      </c>
      <c r="AX29" s="41">
        <f t="shared" si="18"/>
        <v>-1774151.0464615384</v>
      </c>
      <c r="AY29" s="16">
        <f t="shared" si="19"/>
        <v>0</v>
      </c>
    </row>
    <row r="30" spans="1:51" x14ac:dyDescent="0.25">
      <c r="B30" s="46"/>
      <c r="C30" s="42"/>
      <c r="D30" s="161">
        <f>F29/E21</f>
        <v>3566960.0377358487</v>
      </c>
      <c r="E30" s="34"/>
      <c r="F30" s="34"/>
      <c r="G30" s="118"/>
      <c r="H30" s="40"/>
      <c r="I30" s="36"/>
      <c r="J30" s="37"/>
      <c r="K30" s="38"/>
      <c r="L30" s="39"/>
      <c r="M30" s="40"/>
      <c r="N30" s="36"/>
      <c r="O30" s="37"/>
      <c r="P30" s="38"/>
      <c r="Q30" s="39"/>
      <c r="R30" s="40"/>
      <c r="S30" s="36"/>
      <c r="T30" s="37"/>
      <c r="U30" s="38"/>
      <c r="V30" s="39"/>
      <c r="W30" s="40"/>
      <c r="X30" s="36"/>
      <c r="Y30" s="37"/>
      <c r="Z30" s="38"/>
      <c r="AA30" s="39"/>
      <c r="AB30" s="40"/>
      <c r="AC30" s="36"/>
      <c r="AD30" s="37"/>
      <c r="AE30" s="38"/>
      <c r="AF30" s="39"/>
      <c r="AG30" s="40"/>
      <c r="AH30" s="36"/>
      <c r="AI30" s="37"/>
      <c r="AJ30" s="38"/>
      <c r="AK30" s="39"/>
      <c r="AL30" s="40"/>
      <c r="AM30" s="36"/>
      <c r="AN30" s="37"/>
      <c r="AO30" s="38"/>
      <c r="AP30" s="39"/>
      <c r="AQ30" s="40"/>
      <c r="AR30" s="36"/>
      <c r="AS30" s="37"/>
      <c r="AT30" s="38"/>
      <c r="AU30" s="39"/>
      <c r="AV30" s="41"/>
      <c r="AW30" s="41"/>
      <c r="AX30" s="41">
        <f t="shared" si="18"/>
        <v>0</v>
      </c>
      <c r="AY30" s="16"/>
    </row>
    <row r="31" spans="1:51" x14ac:dyDescent="0.25">
      <c r="A31" s="1" t="s">
        <v>183</v>
      </c>
      <c r="C31" s="45"/>
      <c r="D31" s="53"/>
      <c r="E31" s="50"/>
      <c r="F31" s="34">
        <v>0</v>
      </c>
      <c r="G31" s="118"/>
      <c r="H31" s="40"/>
      <c r="I31" s="36"/>
      <c r="J31" s="37">
        <f t="shared" si="2"/>
        <v>0</v>
      </c>
      <c r="K31" s="38"/>
      <c r="L31" s="39">
        <f>K31*J31</f>
        <v>0</v>
      </c>
      <c r="M31" s="40"/>
      <c r="N31" s="36"/>
      <c r="O31" s="37">
        <f t="shared" si="4"/>
        <v>0</v>
      </c>
      <c r="P31" s="38"/>
      <c r="Q31" s="39">
        <f>P31*O31</f>
        <v>0</v>
      </c>
      <c r="R31" s="40"/>
      <c r="S31" s="36"/>
      <c r="T31" s="37">
        <f t="shared" si="6"/>
        <v>0</v>
      </c>
      <c r="U31" s="38"/>
      <c r="V31" s="39">
        <f>U31*T31</f>
        <v>0</v>
      </c>
      <c r="W31" s="40"/>
      <c r="X31" s="36"/>
      <c r="Y31" s="37">
        <f t="shared" si="8"/>
        <v>0</v>
      </c>
      <c r="Z31" s="38"/>
      <c r="AA31" s="39">
        <f>Z31*Y31</f>
        <v>0</v>
      </c>
      <c r="AB31" s="40"/>
      <c r="AC31" s="36"/>
      <c r="AD31" s="37">
        <f t="shared" si="10"/>
        <v>0</v>
      </c>
      <c r="AE31" s="38"/>
      <c r="AF31" s="39">
        <f>AE31*AD31</f>
        <v>0</v>
      </c>
      <c r="AG31" s="40"/>
      <c r="AH31" s="36"/>
      <c r="AI31" s="37">
        <f t="shared" si="12"/>
        <v>0</v>
      </c>
      <c r="AJ31" s="38"/>
      <c r="AK31" s="39">
        <f>AJ31*AI31</f>
        <v>0</v>
      </c>
      <c r="AL31" s="40"/>
      <c r="AM31" s="36"/>
      <c r="AN31" s="37">
        <f t="shared" si="14"/>
        <v>0</v>
      </c>
      <c r="AO31" s="38"/>
      <c r="AP31" s="39">
        <f>AO31*AN31</f>
        <v>0</v>
      </c>
      <c r="AQ31" s="40"/>
      <c r="AR31" s="36"/>
      <c r="AS31" s="37">
        <f t="shared" si="16"/>
        <v>0</v>
      </c>
      <c r="AT31" s="38"/>
      <c r="AU31" s="39">
        <f>AT31*AS31</f>
        <v>0</v>
      </c>
      <c r="AV31" s="41">
        <f t="shared" ref="AV31:AV42" si="20">F31</f>
        <v>0</v>
      </c>
      <c r="AW31" s="41">
        <f t="shared" ref="AW31:AW42" si="21">J31+O31+T31+Y31+AD31+AI31+AN31+AS31</f>
        <v>0</v>
      </c>
      <c r="AX31" s="41">
        <f t="shared" si="18"/>
        <v>0</v>
      </c>
      <c r="AY31" s="16">
        <f>IF(AND(AV31=AW31,AW31=AX31,AV31=AX31),0,1)</f>
        <v>0</v>
      </c>
    </row>
    <row r="32" spans="1:51" x14ac:dyDescent="0.25">
      <c r="B32" s="48" t="s">
        <v>32</v>
      </c>
      <c r="C32" s="42" t="s">
        <v>33</v>
      </c>
      <c r="D32" s="53">
        <v>11600</v>
      </c>
      <c r="E32" s="34">
        <v>240</v>
      </c>
      <c r="F32" s="94">
        <v>2784000</v>
      </c>
      <c r="G32" s="119"/>
      <c r="H32" s="40"/>
      <c r="I32" s="36"/>
      <c r="J32" s="37">
        <f t="shared" si="2"/>
        <v>0</v>
      </c>
      <c r="K32" s="38"/>
      <c r="L32" s="39">
        <f>K32*J32</f>
        <v>0</v>
      </c>
      <c r="M32" s="40"/>
      <c r="N32" s="36"/>
      <c r="O32" s="37">
        <f t="shared" si="4"/>
        <v>0</v>
      </c>
      <c r="P32" s="38"/>
      <c r="Q32" s="39">
        <f>P32*O32</f>
        <v>0</v>
      </c>
      <c r="R32" s="40"/>
      <c r="S32" s="36">
        <v>0.8</v>
      </c>
      <c r="T32" s="37">
        <f t="shared" si="6"/>
        <v>2227200</v>
      </c>
      <c r="U32" s="38">
        <v>1</v>
      </c>
      <c r="V32" s="39">
        <f>U32*T32</f>
        <v>2227200</v>
      </c>
      <c r="W32" s="40"/>
      <c r="X32" s="36">
        <v>0.2</v>
      </c>
      <c r="Y32" s="37">
        <f t="shared" si="8"/>
        <v>556800</v>
      </c>
      <c r="Z32" s="38">
        <v>1</v>
      </c>
      <c r="AA32" s="39">
        <f>Z32*Y32</f>
        <v>556800</v>
      </c>
      <c r="AB32" s="40"/>
      <c r="AC32" s="36"/>
      <c r="AD32" s="37">
        <f t="shared" si="10"/>
        <v>0</v>
      </c>
      <c r="AE32" s="38"/>
      <c r="AF32" s="39">
        <f>AE32*AD32</f>
        <v>0</v>
      </c>
      <c r="AG32" s="40"/>
      <c r="AH32" s="36"/>
      <c r="AI32" s="37">
        <f t="shared" si="12"/>
        <v>0</v>
      </c>
      <c r="AJ32" s="38"/>
      <c r="AK32" s="39">
        <f>AJ32*AI32</f>
        <v>0</v>
      </c>
      <c r="AL32" s="40"/>
      <c r="AM32" s="36"/>
      <c r="AN32" s="37">
        <f t="shared" si="14"/>
        <v>0</v>
      </c>
      <c r="AO32" s="38"/>
      <c r="AP32" s="39">
        <f>AO32*AN32</f>
        <v>0</v>
      </c>
      <c r="AQ32" s="40"/>
      <c r="AR32" s="36"/>
      <c r="AS32" s="37">
        <f t="shared" si="16"/>
        <v>0</v>
      </c>
      <c r="AT32" s="38"/>
      <c r="AU32" s="39">
        <f>AT32*AS32</f>
        <v>0</v>
      </c>
      <c r="AV32" s="41">
        <f t="shared" si="20"/>
        <v>2784000</v>
      </c>
      <c r="AW32" s="41">
        <f t="shared" si="21"/>
        <v>2784000</v>
      </c>
      <c r="AX32" s="41">
        <f t="shared" si="18"/>
        <v>2784000</v>
      </c>
      <c r="AY32" s="16">
        <f>IF(AND(AV32=AW32,AW32=AX32,AV32=AX32),0,1)</f>
        <v>0</v>
      </c>
    </row>
    <row r="33" spans="1:51" x14ac:dyDescent="0.25">
      <c r="B33" s="46" t="s">
        <v>34</v>
      </c>
      <c r="C33" s="42" t="s">
        <v>33</v>
      </c>
      <c r="D33" s="53">
        <v>11600</v>
      </c>
      <c r="E33" s="34">
        <v>-257.89473684210526</v>
      </c>
      <c r="F33" s="94">
        <v>-2991578.9473684211</v>
      </c>
      <c r="G33" s="119"/>
      <c r="H33" s="40"/>
      <c r="I33" s="36"/>
      <c r="J33" s="37">
        <f t="shared" si="2"/>
        <v>0</v>
      </c>
      <c r="K33" s="38"/>
      <c r="L33" s="39">
        <f>K33*J33</f>
        <v>0</v>
      </c>
      <c r="M33" s="40"/>
      <c r="N33" s="36"/>
      <c r="O33" s="37">
        <f t="shared" si="4"/>
        <v>0</v>
      </c>
      <c r="P33" s="38"/>
      <c r="Q33" s="39">
        <f>P33*O33</f>
        <v>0</v>
      </c>
      <c r="R33" s="40"/>
      <c r="S33" s="36">
        <v>0.8</v>
      </c>
      <c r="T33" s="37">
        <f t="shared" si="6"/>
        <v>-2393263.1578947371</v>
      </c>
      <c r="U33" s="38">
        <v>1</v>
      </c>
      <c r="V33" s="39">
        <f>U33*T33</f>
        <v>-2393263.1578947371</v>
      </c>
      <c r="W33" s="40"/>
      <c r="X33" s="36">
        <v>0.2</v>
      </c>
      <c r="Y33" s="37">
        <f t="shared" si="8"/>
        <v>-598315.78947368427</v>
      </c>
      <c r="Z33" s="38">
        <v>1</v>
      </c>
      <c r="AA33" s="39">
        <f>Z33*Y33</f>
        <v>-598315.78947368427</v>
      </c>
      <c r="AB33" s="40"/>
      <c r="AC33" s="36"/>
      <c r="AD33" s="37">
        <f t="shared" si="10"/>
        <v>0</v>
      </c>
      <c r="AE33" s="38"/>
      <c r="AF33" s="39">
        <f>AE33*AD33</f>
        <v>0</v>
      </c>
      <c r="AG33" s="40"/>
      <c r="AH33" s="36"/>
      <c r="AI33" s="37">
        <f t="shared" si="12"/>
        <v>0</v>
      </c>
      <c r="AJ33" s="38"/>
      <c r="AK33" s="39">
        <f>AJ33*AI33</f>
        <v>0</v>
      </c>
      <c r="AL33" s="40"/>
      <c r="AM33" s="36"/>
      <c r="AN33" s="37">
        <f t="shared" si="14"/>
        <v>0</v>
      </c>
      <c r="AO33" s="38"/>
      <c r="AP33" s="39">
        <f>AO33*AN33</f>
        <v>0</v>
      </c>
      <c r="AQ33" s="40"/>
      <c r="AR33" s="36"/>
      <c r="AS33" s="37">
        <f t="shared" si="16"/>
        <v>0</v>
      </c>
      <c r="AT33" s="38"/>
      <c r="AU33" s="39">
        <f>AT33*AS33</f>
        <v>0</v>
      </c>
      <c r="AV33" s="41">
        <f t="shared" si="20"/>
        <v>-2991578.9473684211</v>
      </c>
      <c r="AW33" s="41">
        <f t="shared" si="21"/>
        <v>-2991578.9473684216</v>
      </c>
      <c r="AX33" s="41">
        <f t="shared" si="18"/>
        <v>-2991578.9473684216</v>
      </c>
      <c r="AY33" s="16">
        <f>IF(AND(AV33=AW33,AW33=AX33,AV33=AX33),0,1)</f>
        <v>0</v>
      </c>
    </row>
    <row r="34" spans="1:51" x14ac:dyDescent="0.25">
      <c r="C34" s="45"/>
      <c r="D34" s="53"/>
      <c r="E34" s="50"/>
      <c r="F34" s="34">
        <v>0</v>
      </c>
      <c r="G34" s="118"/>
      <c r="H34" s="40"/>
      <c r="I34" s="36"/>
      <c r="J34" s="37">
        <f t="shared" si="2"/>
        <v>0</v>
      </c>
      <c r="K34" s="38"/>
      <c r="L34" s="39">
        <f>K34*J34</f>
        <v>0</v>
      </c>
      <c r="M34" s="40"/>
      <c r="N34" s="36"/>
      <c r="O34" s="37">
        <f t="shared" si="4"/>
        <v>0</v>
      </c>
      <c r="P34" s="38"/>
      <c r="Q34" s="39">
        <f>P34*O34</f>
        <v>0</v>
      </c>
      <c r="R34" s="40"/>
      <c r="S34" s="36"/>
      <c r="T34" s="37">
        <f t="shared" si="6"/>
        <v>0</v>
      </c>
      <c r="U34" s="38"/>
      <c r="V34" s="39">
        <f>U34*T34</f>
        <v>0</v>
      </c>
      <c r="W34" s="40"/>
      <c r="X34" s="36"/>
      <c r="Y34" s="37">
        <f t="shared" si="8"/>
        <v>0</v>
      </c>
      <c r="Z34" s="38"/>
      <c r="AA34" s="39">
        <f>Z34*Y34</f>
        <v>0</v>
      </c>
      <c r="AB34" s="40"/>
      <c r="AC34" s="36"/>
      <c r="AD34" s="37">
        <f t="shared" si="10"/>
        <v>0</v>
      </c>
      <c r="AE34" s="38"/>
      <c r="AF34" s="39">
        <f>AE34*AD34</f>
        <v>0</v>
      </c>
      <c r="AG34" s="40"/>
      <c r="AH34" s="36"/>
      <c r="AI34" s="37">
        <f t="shared" si="12"/>
        <v>0</v>
      </c>
      <c r="AJ34" s="38"/>
      <c r="AK34" s="39">
        <f>AJ34*AI34</f>
        <v>0</v>
      </c>
      <c r="AL34" s="40"/>
      <c r="AM34" s="36"/>
      <c r="AN34" s="37">
        <f t="shared" si="14"/>
        <v>0</v>
      </c>
      <c r="AO34" s="38"/>
      <c r="AP34" s="39">
        <f>AO34*AN34</f>
        <v>0</v>
      </c>
      <c r="AQ34" s="40"/>
      <c r="AR34" s="36"/>
      <c r="AS34" s="37">
        <f t="shared" si="16"/>
        <v>0</v>
      </c>
      <c r="AT34" s="38"/>
      <c r="AU34" s="39">
        <f>AT34*AS34</f>
        <v>0</v>
      </c>
      <c r="AV34" s="41">
        <f t="shared" si="20"/>
        <v>0</v>
      </c>
      <c r="AW34" s="41">
        <f t="shared" si="21"/>
        <v>0</v>
      </c>
      <c r="AX34" s="41">
        <f t="shared" si="18"/>
        <v>0</v>
      </c>
      <c r="AY34" s="16">
        <f>IF(AND(AV34=AW34,AW34=AX34,AV34=AX34),0,1)</f>
        <v>0</v>
      </c>
    </row>
    <row r="35" spans="1:51" x14ac:dyDescent="0.25">
      <c r="A35" s="1" t="s">
        <v>184</v>
      </c>
      <c r="C35" s="45"/>
      <c r="D35" s="53"/>
      <c r="E35" s="50"/>
      <c r="F35" s="34">
        <v>0</v>
      </c>
      <c r="G35" s="118"/>
      <c r="H35" s="40"/>
      <c r="I35" s="36"/>
      <c r="J35" s="37">
        <f t="shared" si="2"/>
        <v>0</v>
      </c>
      <c r="K35" s="38"/>
      <c r="L35" s="39">
        <f t="shared" si="3"/>
        <v>0</v>
      </c>
      <c r="M35" s="40"/>
      <c r="N35" s="36"/>
      <c r="O35" s="37">
        <f t="shared" si="4"/>
        <v>0</v>
      </c>
      <c r="P35" s="38"/>
      <c r="Q35" s="39">
        <f t="shared" si="5"/>
        <v>0</v>
      </c>
      <c r="R35" s="40"/>
      <c r="S35" s="36"/>
      <c r="T35" s="37">
        <f t="shared" si="6"/>
        <v>0</v>
      </c>
      <c r="U35" s="38"/>
      <c r="V35" s="39">
        <f t="shared" si="7"/>
        <v>0</v>
      </c>
      <c r="W35" s="40"/>
      <c r="X35" s="36"/>
      <c r="Y35" s="37">
        <f t="shared" si="8"/>
        <v>0</v>
      </c>
      <c r="Z35" s="38"/>
      <c r="AA35" s="39">
        <f t="shared" si="9"/>
        <v>0</v>
      </c>
      <c r="AB35" s="40"/>
      <c r="AC35" s="36"/>
      <c r="AD35" s="37">
        <f t="shared" si="10"/>
        <v>0</v>
      </c>
      <c r="AE35" s="38"/>
      <c r="AF35" s="39">
        <f t="shared" si="11"/>
        <v>0</v>
      </c>
      <c r="AG35" s="40"/>
      <c r="AH35" s="36"/>
      <c r="AI35" s="37">
        <f t="shared" si="12"/>
        <v>0</v>
      </c>
      <c r="AJ35" s="38"/>
      <c r="AK35" s="39">
        <f t="shared" si="13"/>
        <v>0</v>
      </c>
      <c r="AL35" s="40"/>
      <c r="AM35" s="36"/>
      <c r="AN35" s="37">
        <f t="shared" si="14"/>
        <v>0</v>
      </c>
      <c r="AO35" s="38"/>
      <c r="AP35" s="39">
        <f t="shared" si="15"/>
        <v>0</v>
      </c>
      <c r="AQ35" s="40"/>
      <c r="AR35" s="36"/>
      <c r="AS35" s="37">
        <f t="shared" si="16"/>
        <v>0</v>
      </c>
      <c r="AT35" s="38"/>
      <c r="AU35" s="39">
        <f t="shared" si="17"/>
        <v>0</v>
      </c>
      <c r="AV35" s="41">
        <f t="shared" si="20"/>
        <v>0</v>
      </c>
      <c r="AW35" s="41">
        <f t="shared" si="21"/>
        <v>0</v>
      </c>
      <c r="AX35" s="41">
        <f t="shared" si="18"/>
        <v>0</v>
      </c>
      <c r="AY35" s="16">
        <f t="shared" si="19"/>
        <v>0</v>
      </c>
    </row>
    <row r="36" spans="1:51" x14ac:dyDescent="0.25">
      <c r="B36" s="46" t="s">
        <v>32</v>
      </c>
      <c r="C36" s="42" t="s">
        <v>33</v>
      </c>
      <c r="D36" s="53">
        <v>11000</v>
      </c>
      <c r="E36" s="34">
        <v>260</v>
      </c>
      <c r="F36" s="94">
        <v>2860000</v>
      </c>
      <c r="G36" s="119"/>
      <c r="H36" s="40"/>
      <c r="I36" s="36"/>
      <c r="J36" s="37">
        <f t="shared" si="2"/>
        <v>0</v>
      </c>
      <c r="K36" s="38"/>
      <c r="L36" s="39">
        <f t="shared" si="3"/>
        <v>0</v>
      </c>
      <c r="M36" s="40"/>
      <c r="N36" s="36"/>
      <c r="O36" s="37">
        <f t="shared" si="4"/>
        <v>0</v>
      </c>
      <c r="P36" s="38"/>
      <c r="Q36" s="39">
        <f t="shared" si="5"/>
        <v>0</v>
      </c>
      <c r="R36" s="40"/>
      <c r="S36" s="36"/>
      <c r="T36" s="37">
        <f t="shared" si="6"/>
        <v>0</v>
      </c>
      <c r="U36" s="38"/>
      <c r="V36" s="39">
        <f t="shared" si="7"/>
        <v>0</v>
      </c>
      <c r="W36" s="40"/>
      <c r="X36" s="36"/>
      <c r="Y36" s="37">
        <f t="shared" si="8"/>
        <v>0</v>
      </c>
      <c r="Z36" s="38"/>
      <c r="AA36" s="39">
        <f t="shared" si="9"/>
        <v>0</v>
      </c>
      <c r="AB36" s="40"/>
      <c r="AC36" s="36"/>
      <c r="AD36" s="37">
        <f t="shared" si="10"/>
        <v>0</v>
      </c>
      <c r="AE36" s="38"/>
      <c r="AF36" s="39">
        <f t="shared" si="11"/>
        <v>0</v>
      </c>
      <c r="AG36" s="40"/>
      <c r="AH36" s="36"/>
      <c r="AI36" s="37">
        <f t="shared" si="12"/>
        <v>0</v>
      </c>
      <c r="AJ36" s="38"/>
      <c r="AK36" s="39">
        <f t="shared" si="13"/>
        <v>0</v>
      </c>
      <c r="AL36" s="40"/>
      <c r="AM36" s="36"/>
      <c r="AN36" s="37">
        <f t="shared" si="14"/>
        <v>0</v>
      </c>
      <c r="AO36" s="38"/>
      <c r="AP36" s="39">
        <f t="shared" si="15"/>
        <v>0</v>
      </c>
      <c r="AQ36" s="40"/>
      <c r="AR36" s="36">
        <v>1</v>
      </c>
      <c r="AS36" s="37">
        <f t="shared" si="16"/>
        <v>2860000</v>
      </c>
      <c r="AT36" s="38">
        <v>1</v>
      </c>
      <c r="AU36" s="39">
        <f t="shared" si="17"/>
        <v>2860000</v>
      </c>
      <c r="AV36" s="41">
        <f t="shared" si="20"/>
        <v>2860000</v>
      </c>
      <c r="AW36" s="41">
        <f t="shared" si="21"/>
        <v>2860000</v>
      </c>
      <c r="AX36" s="41">
        <f t="shared" si="18"/>
        <v>2860000</v>
      </c>
      <c r="AY36" s="16">
        <f t="shared" si="19"/>
        <v>0</v>
      </c>
    </row>
    <row r="37" spans="1:51" x14ac:dyDescent="0.25">
      <c r="B37" s="46" t="s">
        <v>34</v>
      </c>
      <c r="C37" s="42" t="s">
        <v>33</v>
      </c>
      <c r="D37" s="53">
        <v>11000</v>
      </c>
      <c r="E37" s="34">
        <v>-257.89473684210526</v>
      </c>
      <c r="F37" s="94">
        <v>-2836842.1052631577</v>
      </c>
      <c r="G37" s="119"/>
      <c r="H37" s="40"/>
      <c r="I37" s="36"/>
      <c r="J37" s="37">
        <f t="shared" si="2"/>
        <v>0</v>
      </c>
      <c r="K37" s="38"/>
      <c r="L37" s="39">
        <f t="shared" si="3"/>
        <v>0</v>
      </c>
      <c r="M37" s="40"/>
      <c r="N37" s="36"/>
      <c r="O37" s="37">
        <f t="shared" si="4"/>
        <v>0</v>
      </c>
      <c r="P37" s="38"/>
      <c r="Q37" s="39">
        <f t="shared" si="5"/>
        <v>0</v>
      </c>
      <c r="R37" s="40"/>
      <c r="S37" s="36"/>
      <c r="T37" s="37">
        <f t="shared" si="6"/>
        <v>0</v>
      </c>
      <c r="U37" s="38"/>
      <c r="V37" s="39">
        <f t="shared" si="7"/>
        <v>0</v>
      </c>
      <c r="W37" s="40"/>
      <c r="X37" s="36"/>
      <c r="Y37" s="37">
        <f t="shared" si="8"/>
        <v>0</v>
      </c>
      <c r="Z37" s="38"/>
      <c r="AA37" s="39">
        <f t="shared" si="9"/>
        <v>0</v>
      </c>
      <c r="AB37" s="40"/>
      <c r="AC37" s="36"/>
      <c r="AD37" s="37">
        <f t="shared" si="10"/>
        <v>0</v>
      </c>
      <c r="AE37" s="38"/>
      <c r="AF37" s="39">
        <f t="shared" si="11"/>
        <v>0</v>
      </c>
      <c r="AG37" s="40"/>
      <c r="AH37" s="36"/>
      <c r="AI37" s="37">
        <f t="shared" si="12"/>
        <v>0</v>
      </c>
      <c r="AJ37" s="38"/>
      <c r="AK37" s="39">
        <f t="shared" si="13"/>
        <v>0</v>
      </c>
      <c r="AL37" s="40"/>
      <c r="AM37" s="36"/>
      <c r="AN37" s="37">
        <f t="shared" si="14"/>
        <v>0</v>
      </c>
      <c r="AO37" s="38"/>
      <c r="AP37" s="39">
        <f t="shared" si="15"/>
        <v>0</v>
      </c>
      <c r="AQ37" s="40"/>
      <c r="AR37" s="36">
        <v>1</v>
      </c>
      <c r="AS37" s="37">
        <f t="shared" si="16"/>
        <v>-2836842.1052631577</v>
      </c>
      <c r="AT37" s="38">
        <v>1</v>
      </c>
      <c r="AU37" s="39">
        <f t="shared" si="17"/>
        <v>-2836842.1052631577</v>
      </c>
      <c r="AV37" s="41">
        <f t="shared" si="20"/>
        <v>-2836842.1052631577</v>
      </c>
      <c r="AW37" s="41">
        <f t="shared" si="21"/>
        <v>-2836842.1052631577</v>
      </c>
      <c r="AX37" s="41">
        <f t="shared" si="18"/>
        <v>-2836842.1052631577</v>
      </c>
      <c r="AY37" s="16">
        <f t="shared" si="19"/>
        <v>0</v>
      </c>
    </row>
    <row r="38" spans="1:51" x14ac:dyDescent="0.25">
      <c r="C38" s="45"/>
      <c r="D38" s="53"/>
      <c r="E38" s="50"/>
      <c r="F38" s="34">
        <v>0</v>
      </c>
      <c r="G38" s="118"/>
      <c r="H38" s="40"/>
      <c r="I38" s="36"/>
      <c r="J38" s="37">
        <f t="shared" si="2"/>
        <v>0</v>
      </c>
      <c r="K38" s="38"/>
      <c r="L38" s="39">
        <f t="shared" si="3"/>
        <v>0</v>
      </c>
      <c r="M38" s="40"/>
      <c r="N38" s="36"/>
      <c r="O38" s="37">
        <f t="shared" si="4"/>
        <v>0</v>
      </c>
      <c r="P38" s="38"/>
      <c r="Q38" s="39">
        <f t="shared" si="5"/>
        <v>0</v>
      </c>
      <c r="R38" s="40"/>
      <c r="S38" s="36"/>
      <c r="T38" s="37">
        <f t="shared" si="6"/>
        <v>0</v>
      </c>
      <c r="U38" s="38"/>
      <c r="V38" s="39">
        <f t="shared" si="7"/>
        <v>0</v>
      </c>
      <c r="W38" s="40"/>
      <c r="X38" s="36"/>
      <c r="Y38" s="37">
        <f t="shared" si="8"/>
        <v>0</v>
      </c>
      <c r="Z38" s="38"/>
      <c r="AA38" s="39">
        <f t="shared" si="9"/>
        <v>0</v>
      </c>
      <c r="AB38" s="40"/>
      <c r="AC38" s="36"/>
      <c r="AD38" s="37">
        <f t="shared" si="10"/>
        <v>0</v>
      </c>
      <c r="AE38" s="38"/>
      <c r="AF38" s="39">
        <f t="shared" si="11"/>
        <v>0</v>
      </c>
      <c r="AG38" s="40"/>
      <c r="AH38" s="36"/>
      <c r="AI38" s="37">
        <f t="shared" si="12"/>
        <v>0</v>
      </c>
      <c r="AJ38" s="38"/>
      <c r="AK38" s="39">
        <f t="shared" si="13"/>
        <v>0</v>
      </c>
      <c r="AL38" s="40"/>
      <c r="AM38" s="36"/>
      <c r="AN38" s="37">
        <f t="shared" si="14"/>
        <v>0</v>
      </c>
      <c r="AO38" s="38"/>
      <c r="AP38" s="39">
        <f t="shared" si="15"/>
        <v>0</v>
      </c>
      <c r="AQ38" s="40"/>
      <c r="AR38" s="36"/>
      <c r="AS38" s="37">
        <f t="shared" si="16"/>
        <v>0</v>
      </c>
      <c r="AT38" s="38"/>
      <c r="AU38" s="39">
        <f t="shared" si="17"/>
        <v>0</v>
      </c>
      <c r="AV38" s="41">
        <f t="shared" si="20"/>
        <v>0</v>
      </c>
      <c r="AW38" s="41">
        <f t="shared" si="21"/>
        <v>0</v>
      </c>
      <c r="AX38" s="41">
        <f t="shared" si="18"/>
        <v>0</v>
      </c>
      <c r="AY38" s="16">
        <f t="shared" si="19"/>
        <v>0</v>
      </c>
    </row>
    <row r="39" spans="1:51" x14ac:dyDescent="0.25">
      <c r="A39" s="1" t="s">
        <v>185</v>
      </c>
      <c r="C39" s="45"/>
      <c r="D39" s="53"/>
      <c r="E39" s="50"/>
      <c r="F39" s="34">
        <v>0</v>
      </c>
      <c r="G39" s="118"/>
      <c r="H39" s="40"/>
      <c r="I39" s="36"/>
      <c r="J39" s="37">
        <f t="shared" si="2"/>
        <v>0</v>
      </c>
      <c r="K39" s="38"/>
      <c r="L39" s="39">
        <f t="shared" si="3"/>
        <v>0</v>
      </c>
      <c r="M39" s="40"/>
      <c r="N39" s="36"/>
      <c r="O39" s="37">
        <f t="shared" si="4"/>
        <v>0</v>
      </c>
      <c r="P39" s="38"/>
      <c r="Q39" s="39">
        <f t="shared" si="5"/>
        <v>0</v>
      </c>
      <c r="R39" s="40"/>
      <c r="S39" s="36"/>
      <c r="T39" s="37">
        <f t="shared" si="6"/>
        <v>0</v>
      </c>
      <c r="U39" s="38"/>
      <c r="V39" s="39">
        <f t="shared" si="7"/>
        <v>0</v>
      </c>
      <c r="W39" s="40"/>
      <c r="X39" s="36"/>
      <c r="Y39" s="37">
        <f t="shared" si="8"/>
        <v>0</v>
      </c>
      <c r="Z39" s="38"/>
      <c r="AA39" s="39">
        <f t="shared" si="9"/>
        <v>0</v>
      </c>
      <c r="AB39" s="40"/>
      <c r="AC39" s="36"/>
      <c r="AD39" s="37">
        <f t="shared" si="10"/>
        <v>0</v>
      </c>
      <c r="AE39" s="38"/>
      <c r="AF39" s="39">
        <f t="shared" si="11"/>
        <v>0</v>
      </c>
      <c r="AG39" s="40"/>
      <c r="AH39" s="36"/>
      <c r="AI39" s="37">
        <f t="shared" si="12"/>
        <v>0</v>
      </c>
      <c r="AJ39" s="38"/>
      <c r="AK39" s="39">
        <f t="shared" si="13"/>
        <v>0</v>
      </c>
      <c r="AL39" s="40"/>
      <c r="AM39" s="36"/>
      <c r="AN39" s="37">
        <f t="shared" si="14"/>
        <v>0</v>
      </c>
      <c r="AO39" s="38"/>
      <c r="AP39" s="39">
        <f t="shared" si="15"/>
        <v>0</v>
      </c>
      <c r="AQ39" s="40"/>
      <c r="AR39" s="36"/>
      <c r="AS39" s="37">
        <f t="shared" si="16"/>
        <v>0</v>
      </c>
      <c r="AT39" s="38"/>
      <c r="AU39" s="39">
        <f t="shared" si="17"/>
        <v>0</v>
      </c>
      <c r="AV39" s="41">
        <f t="shared" si="20"/>
        <v>0</v>
      </c>
      <c r="AW39" s="41">
        <f t="shared" si="21"/>
        <v>0</v>
      </c>
      <c r="AX39" s="41">
        <f t="shared" si="18"/>
        <v>0</v>
      </c>
      <c r="AY39" s="16">
        <f t="shared" si="19"/>
        <v>0</v>
      </c>
    </row>
    <row r="40" spans="1:51" x14ac:dyDescent="0.25">
      <c r="B40" s="44" t="s">
        <v>44</v>
      </c>
      <c r="C40" s="42" t="s">
        <v>33</v>
      </c>
      <c r="D40" s="53">
        <v>5024</v>
      </c>
      <c r="E40" s="50">
        <v>260</v>
      </c>
      <c r="F40" s="94">
        <v>1306240</v>
      </c>
      <c r="G40" s="119"/>
      <c r="H40" s="40"/>
      <c r="I40" s="36"/>
      <c r="J40" s="37">
        <f t="shared" si="2"/>
        <v>0</v>
      </c>
      <c r="K40" s="38"/>
      <c r="L40" s="39">
        <f t="shared" si="3"/>
        <v>0</v>
      </c>
      <c r="M40" s="40"/>
      <c r="N40" s="36"/>
      <c r="O40" s="37">
        <f t="shared" si="4"/>
        <v>0</v>
      </c>
      <c r="P40" s="38"/>
      <c r="Q40" s="39">
        <f t="shared" si="5"/>
        <v>0</v>
      </c>
      <c r="R40" s="40"/>
      <c r="S40" s="36"/>
      <c r="T40" s="37">
        <f t="shared" si="6"/>
        <v>0</v>
      </c>
      <c r="U40" s="38"/>
      <c r="V40" s="39">
        <f t="shared" si="7"/>
        <v>0</v>
      </c>
      <c r="W40" s="40"/>
      <c r="X40" s="36">
        <v>0.95</v>
      </c>
      <c r="Y40" s="37">
        <f t="shared" si="8"/>
        <v>1240928</v>
      </c>
      <c r="Z40" s="38">
        <v>1</v>
      </c>
      <c r="AA40" s="39">
        <f t="shared" si="9"/>
        <v>1240928</v>
      </c>
      <c r="AB40" s="40"/>
      <c r="AC40" s="36"/>
      <c r="AD40" s="37">
        <f t="shared" si="10"/>
        <v>0</v>
      </c>
      <c r="AE40" s="38"/>
      <c r="AF40" s="39">
        <f t="shared" si="11"/>
        <v>0</v>
      </c>
      <c r="AG40" s="40"/>
      <c r="AH40" s="36">
        <v>0.05</v>
      </c>
      <c r="AI40" s="37">
        <f t="shared" si="12"/>
        <v>65312</v>
      </c>
      <c r="AJ40" s="38">
        <v>1</v>
      </c>
      <c r="AK40" s="39">
        <f t="shared" si="13"/>
        <v>65312</v>
      </c>
      <c r="AL40" s="40"/>
      <c r="AM40" s="36"/>
      <c r="AN40" s="37">
        <f t="shared" si="14"/>
        <v>0</v>
      </c>
      <c r="AO40" s="38"/>
      <c r="AP40" s="39">
        <f t="shared" si="15"/>
        <v>0</v>
      </c>
      <c r="AQ40" s="40"/>
      <c r="AR40" s="36"/>
      <c r="AS40" s="37">
        <f t="shared" si="16"/>
        <v>0</v>
      </c>
      <c r="AT40" s="38"/>
      <c r="AU40" s="39">
        <f t="shared" si="17"/>
        <v>0</v>
      </c>
      <c r="AV40" s="41">
        <f t="shared" si="20"/>
        <v>1306240</v>
      </c>
      <c r="AW40" s="41">
        <f t="shared" si="21"/>
        <v>1306240</v>
      </c>
      <c r="AX40" s="41">
        <f t="shared" si="18"/>
        <v>1306240</v>
      </c>
      <c r="AY40" s="16">
        <f t="shared" si="19"/>
        <v>0</v>
      </c>
    </row>
    <row r="41" spans="1:51" x14ac:dyDescent="0.25">
      <c r="B41" s="44" t="s">
        <v>45</v>
      </c>
      <c r="C41" s="42" t="s">
        <v>33</v>
      </c>
      <c r="D41" s="53">
        <v>5024</v>
      </c>
      <c r="E41" s="34">
        <v>-257.89473684210526</v>
      </c>
      <c r="F41" s="94">
        <v>-1295663.1578947369</v>
      </c>
      <c r="G41" s="119"/>
      <c r="H41" s="40"/>
      <c r="I41" s="36"/>
      <c r="J41" s="37">
        <f t="shared" si="2"/>
        <v>0</v>
      </c>
      <c r="K41" s="38"/>
      <c r="L41" s="39">
        <f t="shared" si="3"/>
        <v>0</v>
      </c>
      <c r="M41" s="40"/>
      <c r="N41" s="36"/>
      <c r="O41" s="37">
        <f t="shared" si="4"/>
        <v>0</v>
      </c>
      <c r="P41" s="38"/>
      <c r="Q41" s="39">
        <f t="shared" si="5"/>
        <v>0</v>
      </c>
      <c r="R41" s="40"/>
      <c r="S41" s="36"/>
      <c r="T41" s="37">
        <f t="shared" si="6"/>
        <v>0</v>
      </c>
      <c r="U41" s="38"/>
      <c r="V41" s="39">
        <f t="shared" si="7"/>
        <v>0</v>
      </c>
      <c r="W41" s="40"/>
      <c r="X41" s="36">
        <v>0.95</v>
      </c>
      <c r="Y41" s="37">
        <f t="shared" si="8"/>
        <v>-1230880</v>
      </c>
      <c r="Z41" s="38">
        <v>1</v>
      </c>
      <c r="AA41" s="39">
        <f t="shared" si="9"/>
        <v>-1230880</v>
      </c>
      <c r="AB41" s="40"/>
      <c r="AC41" s="36"/>
      <c r="AD41" s="37">
        <f t="shared" si="10"/>
        <v>0</v>
      </c>
      <c r="AE41" s="38"/>
      <c r="AF41" s="39">
        <f t="shared" si="11"/>
        <v>0</v>
      </c>
      <c r="AG41" s="40"/>
      <c r="AH41" s="36">
        <v>0.05</v>
      </c>
      <c r="AI41" s="37">
        <f t="shared" si="12"/>
        <v>-64783.157894736847</v>
      </c>
      <c r="AJ41" s="38">
        <v>1</v>
      </c>
      <c r="AK41" s="39">
        <f t="shared" si="13"/>
        <v>-64783.157894736847</v>
      </c>
      <c r="AL41" s="40"/>
      <c r="AM41" s="36"/>
      <c r="AN41" s="37">
        <f t="shared" si="14"/>
        <v>0</v>
      </c>
      <c r="AO41" s="38"/>
      <c r="AP41" s="39">
        <f t="shared" si="15"/>
        <v>0</v>
      </c>
      <c r="AQ41" s="40"/>
      <c r="AR41" s="36"/>
      <c r="AS41" s="37">
        <f t="shared" si="16"/>
        <v>0</v>
      </c>
      <c r="AT41" s="38"/>
      <c r="AU41" s="39">
        <f t="shared" si="17"/>
        <v>0</v>
      </c>
      <c r="AV41" s="41">
        <f t="shared" si="20"/>
        <v>-1295663.1578947369</v>
      </c>
      <c r="AW41" s="41">
        <f t="shared" si="21"/>
        <v>-1295663.1578947369</v>
      </c>
      <c r="AX41" s="41">
        <f t="shared" si="18"/>
        <v>-1295663.1578947369</v>
      </c>
      <c r="AY41" s="16">
        <f t="shared" si="19"/>
        <v>0</v>
      </c>
    </row>
    <row r="42" spans="1:51" x14ac:dyDescent="0.25">
      <c r="B42" s="46" t="s">
        <v>186</v>
      </c>
      <c r="C42" s="42" t="s">
        <v>42</v>
      </c>
      <c r="D42" s="53">
        <v>2</v>
      </c>
      <c r="E42" s="34">
        <v>550000</v>
      </c>
      <c r="F42" s="94">
        <v>1100000</v>
      </c>
      <c r="G42" s="119"/>
      <c r="H42" s="40"/>
      <c r="I42" s="36"/>
      <c r="J42" s="37">
        <f t="shared" si="2"/>
        <v>0</v>
      </c>
      <c r="K42" s="38"/>
      <c r="L42" s="39">
        <f t="shared" si="3"/>
        <v>0</v>
      </c>
      <c r="M42" s="40"/>
      <c r="N42" s="36"/>
      <c r="O42" s="37">
        <f t="shared" si="4"/>
        <v>0</v>
      </c>
      <c r="P42" s="38"/>
      <c r="Q42" s="39">
        <f t="shared" si="5"/>
        <v>0</v>
      </c>
      <c r="R42" s="40"/>
      <c r="S42" s="36">
        <v>0.8</v>
      </c>
      <c r="T42" s="37">
        <f t="shared" si="6"/>
        <v>880000</v>
      </c>
      <c r="U42" s="38">
        <v>1</v>
      </c>
      <c r="V42" s="39">
        <f t="shared" si="7"/>
        <v>880000</v>
      </c>
      <c r="W42" s="40"/>
      <c r="X42" s="36">
        <v>0.2</v>
      </c>
      <c r="Y42" s="37">
        <f t="shared" si="8"/>
        <v>220000</v>
      </c>
      <c r="Z42" s="38">
        <v>1</v>
      </c>
      <c r="AA42" s="39">
        <f t="shared" si="9"/>
        <v>220000</v>
      </c>
      <c r="AB42" s="40"/>
      <c r="AC42" s="36"/>
      <c r="AD42" s="37">
        <f t="shared" si="10"/>
        <v>0</v>
      </c>
      <c r="AE42" s="38"/>
      <c r="AF42" s="39">
        <f t="shared" si="11"/>
        <v>0</v>
      </c>
      <c r="AG42" s="40"/>
      <c r="AH42" s="36"/>
      <c r="AI42" s="37">
        <f t="shared" si="12"/>
        <v>0</v>
      </c>
      <c r="AJ42" s="38"/>
      <c r="AK42" s="39">
        <f t="shared" si="13"/>
        <v>0</v>
      </c>
      <c r="AL42" s="40"/>
      <c r="AM42" s="36"/>
      <c r="AN42" s="37">
        <f t="shared" si="14"/>
        <v>0</v>
      </c>
      <c r="AO42" s="38"/>
      <c r="AP42" s="39">
        <f t="shared" si="15"/>
        <v>0</v>
      </c>
      <c r="AQ42" s="40"/>
      <c r="AR42" s="36"/>
      <c r="AS42" s="37">
        <f t="shared" si="16"/>
        <v>0</v>
      </c>
      <c r="AT42" s="38"/>
      <c r="AU42" s="39">
        <f t="shared" si="17"/>
        <v>0</v>
      </c>
      <c r="AV42" s="41">
        <f t="shared" si="20"/>
        <v>1100000</v>
      </c>
      <c r="AW42" s="41">
        <f t="shared" si="21"/>
        <v>1100000</v>
      </c>
      <c r="AX42" s="41">
        <f t="shared" si="18"/>
        <v>1100000</v>
      </c>
      <c r="AY42" s="16">
        <f t="shared" si="19"/>
        <v>0</v>
      </c>
    </row>
    <row r="43" spans="1:51" x14ac:dyDescent="0.25">
      <c r="B43" s="46"/>
      <c r="C43" s="42"/>
      <c r="D43" s="53"/>
      <c r="E43" s="34"/>
      <c r="F43" s="34"/>
      <c r="G43" s="118"/>
      <c r="H43" s="40"/>
      <c r="I43" s="36"/>
      <c r="J43" s="37"/>
      <c r="K43" s="38"/>
      <c r="L43" s="39"/>
      <c r="M43" s="40"/>
      <c r="N43" s="36"/>
      <c r="O43" s="37"/>
      <c r="P43" s="38"/>
      <c r="Q43" s="39"/>
      <c r="R43" s="40"/>
      <c r="S43" s="36"/>
      <c r="T43" s="37"/>
      <c r="U43" s="38"/>
      <c r="V43" s="39"/>
      <c r="W43" s="40"/>
      <c r="X43" s="36"/>
      <c r="Y43" s="37"/>
      <c r="Z43" s="38"/>
      <c r="AA43" s="39"/>
      <c r="AB43" s="40"/>
      <c r="AC43" s="36"/>
      <c r="AD43" s="37"/>
      <c r="AE43" s="38"/>
      <c r="AF43" s="39"/>
      <c r="AG43" s="40"/>
      <c r="AH43" s="36"/>
      <c r="AI43" s="37"/>
      <c r="AJ43" s="38"/>
      <c r="AK43" s="39"/>
      <c r="AL43" s="40"/>
      <c r="AM43" s="36"/>
      <c r="AN43" s="37"/>
      <c r="AO43" s="38"/>
      <c r="AP43" s="39"/>
      <c r="AQ43" s="40"/>
      <c r="AR43" s="36"/>
      <c r="AS43" s="37"/>
      <c r="AT43" s="38"/>
      <c r="AU43" s="39"/>
      <c r="AV43" s="41">
        <f t="shared" ref="AV43:AV48" si="22">F43</f>
        <v>0</v>
      </c>
      <c r="AW43" s="41">
        <f t="shared" ref="AW43:AW48" si="23">J43+O43+T43+Y43+AD43+AI43+AN43+AS43</f>
        <v>0</v>
      </c>
      <c r="AX43" s="41">
        <f t="shared" ref="AX43:AX48" si="24">SUM(AU43,AP43,AK43,AF43,AA43,V43,Q43,L43)</f>
        <v>0</v>
      </c>
      <c r="AY43" s="16"/>
    </row>
    <row r="44" spans="1:51" x14ac:dyDescent="0.25">
      <c r="A44" s="1" t="s">
        <v>196</v>
      </c>
      <c r="C44" s="45"/>
      <c r="D44" s="53"/>
      <c r="E44" s="50"/>
      <c r="F44" s="34">
        <v>0</v>
      </c>
      <c r="G44" s="72"/>
      <c r="H44" s="55"/>
      <c r="I44" s="36"/>
      <c r="J44" s="37"/>
      <c r="K44" s="38"/>
      <c r="L44" s="39"/>
      <c r="M44" s="55"/>
      <c r="N44" s="56"/>
      <c r="O44" s="37"/>
      <c r="P44" s="57"/>
      <c r="Q44" s="39"/>
      <c r="R44" s="55"/>
      <c r="S44" s="56"/>
      <c r="T44" s="37"/>
      <c r="U44" s="57"/>
      <c r="V44" s="39"/>
      <c r="W44" s="55"/>
      <c r="X44" s="56"/>
      <c r="Y44" s="37"/>
      <c r="Z44" s="57"/>
      <c r="AA44" s="39"/>
      <c r="AB44" s="55"/>
      <c r="AC44" s="56"/>
      <c r="AD44" s="37"/>
      <c r="AE44" s="57"/>
      <c r="AF44" s="39"/>
      <c r="AG44" s="55"/>
      <c r="AH44" s="56"/>
      <c r="AI44" s="37"/>
      <c r="AJ44" s="57"/>
      <c r="AK44" s="39"/>
      <c r="AL44" s="55"/>
      <c r="AM44" s="56"/>
      <c r="AN44" s="37"/>
      <c r="AO44" s="57"/>
      <c r="AP44" s="39"/>
      <c r="AQ44" s="55"/>
      <c r="AR44" s="56"/>
      <c r="AS44" s="37"/>
      <c r="AT44" s="57"/>
      <c r="AU44" s="39"/>
      <c r="AV44" s="41">
        <f t="shared" si="22"/>
        <v>0</v>
      </c>
      <c r="AW44" s="41">
        <f t="shared" si="23"/>
        <v>0</v>
      </c>
      <c r="AX44" s="41">
        <f t="shared" si="24"/>
        <v>0</v>
      </c>
      <c r="AY44" s="16"/>
    </row>
    <row r="45" spans="1:51" x14ac:dyDescent="0.25">
      <c r="B45" s="48" t="s">
        <v>32</v>
      </c>
      <c r="C45" s="42" t="s">
        <v>33</v>
      </c>
      <c r="D45" s="53">
        <v>8700</v>
      </c>
      <c r="E45" s="34">
        <v>240</v>
      </c>
      <c r="F45" s="139">
        <v>2088000</v>
      </c>
      <c r="G45" s="140"/>
      <c r="H45" s="55"/>
      <c r="I45" s="36"/>
      <c r="J45" s="37"/>
      <c r="K45" s="38"/>
      <c r="L45" s="39"/>
      <c r="M45" s="55"/>
      <c r="N45" s="56"/>
      <c r="O45" s="37"/>
      <c r="P45" s="57"/>
      <c r="Q45" s="39"/>
      <c r="R45" s="55"/>
      <c r="S45" s="36">
        <v>0.8</v>
      </c>
      <c r="T45" s="37">
        <f t="shared" ref="T45:T46" si="25">S45*$F45</f>
        <v>1670400</v>
      </c>
      <c r="U45" s="38">
        <v>1</v>
      </c>
      <c r="V45" s="39">
        <f>U45*T45</f>
        <v>1670400</v>
      </c>
      <c r="W45" s="55"/>
      <c r="X45" s="36">
        <v>0.2</v>
      </c>
      <c r="Y45" s="37">
        <f t="shared" ref="Y45:Y46" si="26">X45*$F45</f>
        <v>417600</v>
      </c>
      <c r="Z45" s="38">
        <v>1</v>
      </c>
      <c r="AA45" s="39">
        <f>Z45*Y45</f>
        <v>417600</v>
      </c>
      <c r="AB45" s="55"/>
      <c r="AC45" s="56"/>
      <c r="AD45" s="37"/>
      <c r="AE45" s="57"/>
      <c r="AF45" s="39"/>
      <c r="AG45" s="55"/>
      <c r="AH45" s="56"/>
      <c r="AI45" s="37"/>
      <c r="AJ45" s="57"/>
      <c r="AK45" s="39"/>
      <c r="AL45" s="55"/>
      <c r="AM45" s="56"/>
      <c r="AN45" s="37"/>
      <c r="AO45" s="57"/>
      <c r="AP45" s="39"/>
      <c r="AQ45" s="55"/>
      <c r="AR45" s="56"/>
      <c r="AS45" s="37"/>
      <c r="AT45" s="57"/>
      <c r="AU45" s="39"/>
      <c r="AV45" s="41">
        <f t="shared" si="22"/>
        <v>2088000</v>
      </c>
      <c r="AW45" s="41">
        <f t="shared" si="23"/>
        <v>2088000</v>
      </c>
      <c r="AX45" s="41">
        <f t="shared" si="24"/>
        <v>2088000</v>
      </c>
      <c r="AY45" s="16"/>
    </row>
    <row r="46" spans="1:51" x14ac:dyDescent="0.25">
      <c r="B46" s="46" t="s">
        <v>34</v>
      </c>
      <c r="C46" s="42" t="s">
        <v>33</v>
      </c>
      <c r="D46" s="53">
        <v>8700</v>
      </c>
      <c r="E46" s="34">
        <v>-257.89473684210526</v>
      </c>
      <c r="F46" s="139">
        <v>-2243684.210526316</v>
      </c>
      <c r="G46" s="140"/>
      <c r="H46" s="55"/>
      <c r="I46" s="36"/>
      <c r="J46" s="37"/>
      <c r="K46" s="38"/>
      <c r="L46" s="39"/>
      <c r="M46" s="55"/>
      <c r="N46" s="56"/>
      <c r="O46" s="37"/>
      <c r="P46" s="57"/>
      <c r="Q46" s="39"/>
      <c r="R46" s="55"/>
      <c r="S46" s="36">
        <v>0.8</v>
      </c>
      <c r="T46" s="37">
        <f t="shared" si="25"/>
        <v>-1794947.3684210528</v>
      </c>
      <c r="U46" s="38">
        <v>1</v>
      </c>
      <c r="V46" s="39">
        <f>U46*T46</f>
        <v>-1794947.3684210528</v>
      </c>
      <c r="W46" s="55"/>
      <c r="X46" s="36">
        <v>0.2</v>
      </c>
      <c r="Y46" s="37">
        <f t="shared" si="26"/>
        <v>-448736.8421052632</v>
      </c>
      <c r="Z46" s="38">
        <v>1</v>
      </c>
      <c r="AA46" s="39">
        <f>Z46*Y46</f>
        <v>-448736.8421052632</v>
      </c>
      <c r="AB46" s="55"/>
      <c r="AC46" s="56"/>
      <c r="AD46" s="37"/>
      <c r="AE46" s="57"/>
      <c r="AF46" s="39"/>
      <c r="AG46" s="55"/>
      <c r="AH46" s="56"/>
      <c r="AI46" s="37"/>
      <c r="AJ46" s="57"/>
      <c r="AK46" s="39"/>
      <c r="AL46" s="55"/>
      <c r="AM46" s="56"/>
      <c r="AN46" s="37"/>
      <c r="AO46" s="57"/>
      <c r="AP46" s="39"/>
      <c r="AQ46" s="55"/>
      <c r="AR46" s="56"/>
      <c r="AS46" s="37"/>
      <c r="AT46" s="57"/>
      <c r="AU46" s="39"/>
      <c r="AV46" s="41">
        <f t="shared" si="22"/>
        <v>-2243684.210526316</v>
      </c>
      <c r="AW46" s="41">
        <f t="shared" si="23"/>
        <v>-2243684.210526316</v>
      </c>
      <c r="AX46" s="41">
        <f t="shared" si="24"/>
        <v>-2243684.210526316</v>
      </c>
      <c r="AY46" s="16"/>
    </row>
    <row r="47" spans="1:51" x14ac:dyDescent="0.25">
      <c r="B47" s="46"/>
      <c r="C47" s="54"/>
      <c r="D47" s="53"/>
      <c r="E47" s="34"/>
      <c r="F47" s="34"/>
      <c r="G47" s="72"/>
      <c r="H47" s="55"/>
      <c r="I47" s="36"/>
      <c r="J47" s="37"/>
      <c r="K47" s="38"/>
      <c r="L47" s="39"/>
      <c r="M47" s="55"/>
      <c r="N47" s="56"/>
      <c r="O47" s="37"/>
      <c r="P47" s="57"/>
      <c r="Q47" s="39"/>
      <c r="R47" s="55"/>
      <c r="S47" s="56"/>
      <c r="T47" s="37"/>
      <c r="U47" s="57"/>
      <c r="V47" s="39"/>
      <c r="W47" s="55"/>
      <c r="X47" s="56"/>
      <c r="Y47" s="37"/>
      <c r="Z47" s="57"/>
      <c r="AA47" s="39"/>
      <c r="AB47" s="55"/>
      <c r="AC47" s="56"/>
      <c r="AD47" s="37"/>
      <c r="AE47" s="57"/>
      <c r="AF47" s="39"/>
      <c r="AG47" s="55"/>
      <c r="AH47" s="56"/>
      <c r="AI47" s="37"/>
      <c r="AJ47" s="57"/>
      <c r="AK47" s="39"/>
      <c r="AL47" s="55"/>
      <c r="AM47" s="56"/>
      <c r="AN47" s="37"/>
      <c r="AO47" s="57"/>
      <c r="AP47" s="39"/>
      <c r="AQ47" s="55"/>
      <c r="AR47" s="56"/>
      <c r="AS47" s="37"/>
      <c r="AT47" s="57"/>
      <c r="AU47" s="39"/>
      <c r="AV47" s="41">
        <f t="shared" si="22"/>
        <v>0</v>
      </c>
      <c r="AW47" s="41">
        <f t="shared" si="23"/>
        <v>0</v>
      </c>
      <c r="AX47" s="41">
        <f t="shared" si="24"/>
        <v>0</v>
      </c>
      <c r="AY47" s="16"/>
    </row>
    <row r="48" spans="1:51" x14ac:dyDescent="0.25">
      <c r="A48" s="1" t="s">
        <v>46</v>
      </c>
      <c r="B48" s="44"/>
      <c r="C48" s="54"/>
      <c r="D48" s="53"/>
      <c r="E48" s="34"/>
      <c r="F48" s="34">
        <v>0</v>
      </c>
      <c r="G48" s="72"/>
      <c r="H48" s="55"/>
      <c r="I48" s="36"/>
      <c r="J48" s="37">
        <f t="shared" ref="J48:J52" si="27">I48*$F48</f>
        <v>0</v>
      </c>
      <c r="K48" s="38"/>
      <c r="L48" s="39">
        <f t="shared" ref="L48:L52" si="28">K48*J48</f>
        <v>0</v>
      </c>
      <c r="M48" s="55"/>
      <c r="N48" s="56"/>
      <c r="O48" s="37">
        <f t="shared" ref="O48:O52" si="29">N48*$F48</f>
        <v>0</v>
      </c>
      <c r="P48" s="57"/>
      <c r="Q48" s="39">
        <f t="shared" ref="Q48:Q52" si="30">P48*O48</f>
        <v>0</v>
      </c>
      <c r="R48" s="55"/>
      <c r="S48" s="56"/>
      <c r="T48" s="37">
        <f t="shared" ref="T48:T52" si="31">S48*$F48</f>
        <v>0</v>
      </c>
      <c r="U48" s="57"/>
      <c r="V48" s="39">
        <f t="shared" ref="V48:V52" si="32">U48*T48</f>
        <v>0</v>
      </c>
      <c r="W48" s="55"/>
      <c r="X48" s="56"/>
      <c r="Y48" s="37">
        <f t="shared" ref="Y48:Y52" si="33">X48*$F48</f>
        <v>0</v>
      </c>
      <c r="Z48" s="57"/>
      <c r="AA48" s="39">
        <f t="shared" ref="AA48:AA52" si="34">Z48*Y48</f>
        <v>0</v>
      </c>
      <c r="AB48" s="55"/>
      <c r="AC48" s="56"/>
      <c r="AD48" s="37">
        <f t="shared" ref="AD48:AD52" si="35">AC48*$F48</f>
        <v>0</v>
      </c>
      <c r="AE48" s="57"/>
      <c r="AF48" s="39">
        <f t="shared" ref="AF48:AF52" si="36">AE48*AD48</f>
        <v>0</v>
      </c>
      <c r="AG48" s="55"/>
      <c r="AH48" s="56"/>
      <c r="AI48" s="37">
        <f t="shared" ref="AI48:AI52" si="37">AH48*$F48</f>
        <v>0</v>
      </c>
      <c r="AJ48" s="57"/>
      <c r="AK48" s="39">
        <f t="shared" ref="AK48:AK52" si="38">AJ48*AI48</f>
        <v>0</v>
      </c>
      <c r="AL48" s="55"/>
      <c r="AM48" s="56"/>
      <c r="AN48" s="37">
        <f t="shared" ref="AN48:AN52" si="39">AM48*$F48</f>
        <v>0</v>
      </c>
      <c r="AO48" s="57"/>
      <c r="AP48" s="39">
        <f t="shared" ref="AP48:AP52" si="40">AO48*AN48</f>
        <v>0</v>
      </c>
      <c r="AQ48" s="55"/>
      <c r="AR48" s="56"/>
      <c r="AS48" s="37">
        <f t="shared" ref="AS48:AS52" si="41">AR48*$F48</f>
        <v>0</v>
      </c>
      <c r="AT48" s="57"/>
      <c r="AU48" s="39">
        <f t="shared" ref="AU48:AU52" si="42">AT48*AS48</f>
        <v>0</v>
      </c>
      <c r="AV48" s="41">
        <f t="shared" si="22"/>
        <v>0</v>
      </c>
      <c r="AW48" s="41">
        <f t="shared" si="23"/>
        <v>0</v>
      </c>
      <c r="AX48" s="41">
        <f t="shared" si="24"/>
        <v>0</v>
      </c>
      <c r="AY48" s="16">
        <f t="shared" ref="AY48:AY56" si="43">IF(AND(AV48=AW48,AW48=AX48,AV48=AX48),0,1)</f>
        <v>0</v>
      </c>
    </row>
    <row r="49" spans="2:115" x14ac:dyDescent="0.25">
      <c r="B49" s="44" t="s">
        <v>47</v>
      </c>
      <c r="C49" s="54" t="s">
        <v>33</v>
      </c>
      <c r="D49" s="53">
        <v>650</v>
      </c>
      <c r="E49" s="34">
        <v>240</v>
      </c>
      <c r="F49" s="94">
        <v>156000</v>
      </c>
      <c r="G49" s="141"/>
      <c r="H49" s="55"/>
      <c r="I49" s="36"/>
      <c r="J49" s="37">
        <f t="shared" si="27"/>
        <v>0</v>
      </c>
      <c r="K49" s="38"/>
      <c r="L49" s="39">
        <f t="shared" si="28"/>
        <v>0</v>
      </c>
      <c r="M49" s="55"/>
      <c r="N49" s="56"/>
      <c r="O49" s="37">
        <f t="shared" si="29"/>
        <v>0</v>
      </c>
      <c r="P49" s="57"/>
      <c r="Q49" s="39">
        <f t="shared" si="30"/>
        <v>0</v>
      </c>
      <c r="R49" s="55"/>
      <c r="S49" s="56">
        <v>0.6</v>
      </c>
      <c r="T49" s="37">
        <f t="shared" si="31"/>
        <v>93600</v>
      </c>
      <c r="U49" s="57">
        <v>1</v>
      </c>
      <c r="V49" s="39">
        <f t="shared" si="32"/>
        <v>93600</v>
      </c>
      <c r="W49" s="55"/>
      <c r="X49" s="56">
        <v>0.2</v>
      </c>
      <c r="Y49" s="37">
        <f t="shared" si="33"/>
        <v>31200</v>
      </c>
      <c r="Z49" s="57">
        <v>1</v>
      </c>
      <c r="AA49" s="39">
        <f t="shared" si="34"/>
        <v>31200</v>
      </c>
      <c r="AB49" s="55"/>
      <c r="AC49" s="56">
        <v>0.15</v>
      </c>
      <c r="AD49" s="37">
        <f t="shared" si="35"/>
        <v>23400</v>
      </c>
      <c r="AE49" s="57">
        <v>1</v>
      </c>
      <c r="AF49" s="39">
        <f t="shared" si="36"/>
        <v>23400</v>
      </c>
      <c r="AG49" s="55"/>
      <c r="AH49" s="56">
        <v>0.05</v>
      </c>
      <c r="AI49" s="37">
        <f t="shared" si="37"/>
        <v>7800</v>
      </c>
      <c r="AJ49" s="57">
        <v>1</v>
      </c>
      <c r="AK49" s="39">
        <f t="shared" si="38"/>
        <v>7800</v>
      </c>
      <c r="AL49" s="55"/>
      <c r="AM49" s="56"/>
      <c r="AN49" s="37">
        <f t="shared" si="39"/>
        <v>0</v>
      </c>
      <c r="AO49" s="57"/>
      <c r="AP49" s="39">
        <f t="shared" si="40"/>
        <v>0</v>
      </c>
      <c r="AQ49" s="55"/>
      <c r="AR49" s="56"/>
      <c r="AS49" s="37">
        <f t="shared" si="41"/>
        <v>0</v>
      </c>
      <c r="AT49" s="57"/>
      <c r="AU49" s="39">
        <f t="shared" si="42"/>
        <v>0</v>
      </c>
      <c r="AV49" s="41">
        <f t="shared" ref="AV49:AV52" si="44">F49</f>
        <v>156000</v>
      </c>
      <c r="AW49" s="41">
        <f t="shared" ref="AW49:AW56" si="45">J49+O49+T49+Y49+AD49+AI49+AN49+AS49</f>
        <v>156000</v>
      </c>
      <c r="AX49" s="41">
        <f t="shared" si="18"/>
        <v>156000</v>
      </c>
      <c r="AY49" s="16">
        <f t="shared" si="43"/>
        <v>0</v>
      </c>
    </row>
    <row r="50" spans="2:115" x14ac:dyDescent="0.25">
      <c r="B50" s="44" t="s">
        <v>48</v>
      </c>
      <c r="C50" s="54" t="s">
        <v>33</v>
      </c>
      <c r="D50" s="53">
        <v>650</v>
      </c>
      <c r="E50" s="34">
        <v>-257.89473684210526</v>
      </c>
      <c r="F50" s="94">
        <v>-167631.57894736843</v>
      </c>
      <c r="G50" s="141"/>
      <c r="H50" s="55"/>
      <c r="I50" s="36"/>
      <c r="J50" s="37">
        <f t="shared" si="27"/>
        <v>0</v>
      </c>
      <c r="K50" s="38"/>
      <c r="L50" s="39">
        <f t="shared" si="28"/>
        <v>0</v>
      </c>
      <c r="M50" s="55"/>
      <c r="N50" s="56"/>
      <c r="O50" s="37">
        <f t="shared" si="29"/>
        <v>0</v>
      </c>
      <c r="P50" s="57"/>
      <c r="Q50" s="39">
        <f t="shared" si="30"/>
        <v>0</v>
      </c>
      <c r="R50" s="55"/>
      <c r="S50" s="56">
        <v>0.6</v>
      </c>
      <c r="T50" s="37">
        <f t="shared" si="31"/>
        <v>-100578.94736842105</v>
      </c>
      <c r="U50" s="57">
        <v>1</v>
      </c>
      <c r="V50" s="39">
        <f t="shared" si="32"/>
        <v>-100578.94736842105</v>
      </c>
      <c r="W50" s="55"/>
      <c r="X50" s="56">
        <v>0.25</v>
      </c>
      <c r="Y50" s="37">
        <f t="shared" si="33"/>
        <v>-41907.894736842107</v>
      </c>
      <c r="Z50" s="57">
        <v>1</v>
      </c>
      <c r="AA50" s="39">
        <f t="shared" si="34"/>
        <v>-41907.894736842107</v>
      </c>
      <c r="AB50" s="55"/>
      <c r="AC50" s="56">
        <v>0.15</v>
      </c>
      <c r="AD50" s="37">
        <f t="shared" si="35"/>
        <v>-25144.736842105263</v>
      </c>
      <c r="AE50" s="57">
        <v>1</v>
      </c>
      <c r="AF50" s="39">
        <f t="shared" si="36"/>
        <v>-25144.736842105263</v>
      </c>
      <c r="AG50" s="55"/>
      <c r="AH50" s="56"/>
      <c r="AI50" s="37">
        <f t="shared" si="37"/>
        <v>0</v>
      </c>
      <c r="AJ50" s="57"/>
      <c r="AK50" s="39">
        <f t="shared" si="38"/>
        <v>0</v>
      </c>
      <c r="AL50" s="55"/>
      <c r="AM50" s="56"/>
      <c r="AN50" s="37">
        <f t="shared" si="39"/>
        <v>0</v>
      </c>
      <c r="AO50" s="57"/>
      <c r="AP50" s="39">
        <f t="shared" si="40"/>
        <v>0</v>
      </c>
      <c r="AQ50" s="55"/>
      <c r="AR50" s="56"/>
      <c r="AS50" s="37">
        <f t="shared" si="41"/>
        <v>0</v>
      </c>
      <c r="AT50" s="57"/>
      <c r="AU50" s="39">
        <f t="shared" si="42"/>
        <v>0</v>
      </c>
      <c r="AV50" s="41">
        <f t="shared" si="44"/>
        <v>-167631.57894736843</v>
      </c>
      <c r="AW50" s="41">
        <f t="shared" si="45"/>
        <v>-167631.5789473684</v>
      </c>
      <c r="AX50" s="41">
        <f t="shared" si="18"/>
        <v>-167631.57894736843</v>
      </c>
      <c r="AY50" s="16">
        <f t="shared" si="43"/>
        <v>0</v>
      </c>
    </row>
    <row r="51" spans="2:115" x14ac:dyDescent="0.25">
      <c r="B51" s="51" t="s">
        <v>41</v>
      </c>
      <c r="C51" s="54" t="s">
        <v>33</v>
      </c>
      <c r="D51" s="53">
        <v>350</v>
      </c>
      <c r="E51" s="34">
        <v>65</v>
      </c>
      <c r="F51" s="94">
        <v>22750</v>
      </c>
      <c r="G51" s="141"/>
      <c r="H51" s="55"/>
      <c r="I51" s="36"/>
      <c r="J51" s="37">
        <f t="shared" si="27"/>
        <v>0</v>
      </c>
      <c r="K51" s="38"/>
      <c r="L51" s="39">
        <f t="shared" si="28"/>
        <v>0</v>
      </c>
      <c r="M51" s="55"/>
      <c r="N51" s="56">
        <v>0.14285714285714288</v>
      </c>
      <c r="O51" s="37">
        <f t="shared" si="29"/>
        <v>3250.0000000000005</v>
      </c>
      <c r="P51" s="57">
        <v>1</v>
      </c>
      <c r="Q51" s="39">
        <f t="shared" si="30"/>
        <v>3250.0000000000005</v>
      </c>
      <c r="R51" s="55"/>
      <c r="S51" s="56">
        <v>0.14285714285714288</v>
      </c>
      <c r="T51" s="37">
        <f t="shared" si="31"/>
        <v>3250.0000000000005</v>
      </c>
      <c r="U51" s="57">
        <v>1</v>
      </c>
      <c r="V51" s="39">
        <f t="shared" si="32"/>
        <v>3250.0000000000005</v>
      </c>
      <c r="W51" s="55"/>
      <c r="X51" s="56">
        <v>0.14285714285714288</v>
      </c>
      <c r="Y51" s="37">
        <f t="shared" si="33"/>
        <v>3250.0000000000005</v>
      </c>
      <c r="Z51" s="57">
        <v>1</v>
      </c>
      <c r="AA51" s="39">
        <f t="shared" si="34"/>
        <v>3250.0000000000005</v>
      </c>
      <c r="AB51" s="55"/>
      <c r="AC51" s="56">
        <v>0.14285714285714288</v>
      </c>
      <c r="AD51" s="37">
        <f t="shared" si="35"/>
        <v>3250.0000000000005</v>
      </c>
      <c r="AE51" s="57">
        <v>1</v>
      </c>
      <c r="AF51" s="39">
        <f t="shared" si="36"/>
        <v>3250.0000000000005</v>
      </c>
      <c r="AG51" s="55"/>
      <c r="AH51" s="56">
        <v>0.14285714285714288</v>
      </c>
      <c r="AI51" s="37">
        <f t="shared" si="37"/>
        <v>3250.0000000000005</v>
      </c>
      <c r="AJ51" s="57">
        <v>1</v>
      </c>
      <c r="AK51" s="39">
        <f t="shared" si="38"/>
        <v>3250.0000000000005</v>
      </c>
      <c r="AL51" s="55"/>
      <c r="AM51" s="56">
        <v>0.14285714285714288</v>
      </c>
      <c r="AN51" s="37">
        <f t="shared" si="39"/>
        <v>3250.0000000000005</v>
      </c>
      <c r="AO51" s="57">
        <v>1</v>
      </c>
      <c r="AP51" s="39">
        <f t="shared" si="40"/>
        <v>3250.0000000000005</v>
      </c>
      <c r="AQ51" s="55"/>
      <c r="AR51" s="56">
        <v>0.14285714285714288</v>
      </c>
      <c r="AS51" s="37">
        <f t="shared" si="41"/>
        <v>3250.0000000000005</v>
      </c>
      <c r="AT51" s="57">
        <v>1</v>
      </c>
      <c r="AU51" s="39">
        <f t="shared" si="42"/>
        <v>3250.0000000000005</v>
      </c>
      <c r="AV51" s="41">
        <f t="shared" si="44"/>
        <v>22750</v>
      </c>
      <c r="AW51" s="41">
        <f t="shared" si="45"/>
        <v>22750.000000000004</v>
      </c>
      <c r="AX51" s="41">
        <f t="shared" si="18"/>
        <v>22750.000000000004</v>
      </c>
      <c r="AY51" s="16">
        <f t="shared" si="43"/>
        <v>0</v>
      </c>
    </row>
    <row r="52" spans="2:115" x14ac:dyDescent="0.25">
      <c r="B52" s="44"/>
      <c r="C52" s="54"/>
      <c r="D52" s="43"/>
      <c r="E52" s="34"/>
      <c r="F52" s="34"/>
      <c r="G52" s="72"/>
      <c r="H52" s="55"/>
      <c r="I52" s="36"/>
      <c r="J52" s="37">
        <f t="shared" si="27"/>
        <v>0</v>
      </c>
      <c r="K52" s="38"/>
      <c r="L52" s="39">
        <f t="shared" si="28"/>
        <v>0</v>
      </c>
      <c r="M52" s="55"/>
      <c r="N52" s="56"/>
      <c r="O52" s="37">
        <f t="shared" si="29"/>
        <v>0</v>
      </c>
      <c r="P52" s="57"/>
      <c r="Q52" s="39">
        <f t="shared" si="30"/>
        <v>0</v>
      </c>
      <c r="R52" s="55"/>
      <c r="S52" s="56"/>
      <c r="T52" s="37">
        <f t="shared" si="31"/>
        <v>0</v>
      </c>
      <c r="U52" s="57"/>
      <c r="V52" s="39">
        <f t="shared" si="32"/>
        <v>0</v>
      </c>
      <c r="W52" s="55"/>
      <c r="X52" s="56"/>
      <c r="Y52" s="37">
        <f t="shared" si="33"/>
        <v>0</v>
      </c>
      <c r="Z52" s="57"/>
      <c r="AA52" s="39">
        <f t="shared" si="34"/>
        <v>0</v>
      </c>
      <c r="AB52" s="55"/>
      <c r="AC52" s="56"/>
      <c r="AD52" s="37">
        <f t="shared" si="35"/>
        <v>0</v>
      </c>
      <c r="AE52" s="57"/>
      <c r="AF52" s="39">
        <f t="shared" si="36"/>
        <v>0</v>
      </c>
      <c r="AG52" s="55"/>
      <c r="AH52" s="56"/>
      <c r="AI52" s="37">
        <f t="shared" si="37"/>
        <v>0</v>
      </c>
      <c r="AJ52" s="57"/>
      <c r="AK52" s="39">
        <f t="shared" si="38"/>
        <v>0</v>
      </c>
      <c r="AL52" s="55"/>
      <c r="AM52" s="56"/>
      <c r="AN52" s="37">
        <f t="shared" si="39"/>
        <v>0</v>
      </c>
      <c r="AO52" s="57"/>
      <c r="AP52" s="39">
        <f t="shared" si="40"/>
        <v>0</v>
      </c>
      <c r="AQ52" s="55"/>
      <c r="AR52" s="56"/>
      <c r="AS52" s="37">
        <f t="shared" si="41"/>
        <v>0</v>
      </c>
      <c r="AT52" s="57"/>
      <c r="AU52" s="39">
        <f t="shared" si="42"/>
        <v>0</v>
      </c>
      <c r="AV52" s="41">
        <f t="shared" si="44"/>
        <v>0</v>
      </c>
      <c r="AW52" s="41">
        <f t="shared" si="45"/>
        <v>0</v>
      </c>
      <c r="AX52" s="41">
        <f t="shared" si="18"/>
        <v>0</v>
      </c>
      <c r="AY52" s="16">
        <f t="shared" si="43"/>
        <v>0</v>
      </c>
    </row>
    <row r="53" spans="2:115" x14ac:dyDescent="0.25">
      <c r="B53" s="58" t="s">
        <v>0</v>
      </c>
      <c r="C53" s="59"/>
      <c r="D53" s="60"/>
      <c r="E53" s="61"/>
      <c r="F53" s="62">
        <f>SUM(F4:F52)</f>
        <v>-1533844.5424305564</v>
      </c>
      <c r="G53" s="62"/>
      <c r="H53" s="62">
        <f>SUM(H4:H52)</f>
        <v>0</v>
      </c>
      <c r="I53" s="62"/>
      <c r="J53" s="62">
        <f>SUM(J4:J52)</f>
        <v>637500</v>
      </c>
      <c r="K53" s="62"/>
      <c r="L53" s="62">
        <f>SUM(L4:L52)</f>
        <v>637500</v>
      </c>
      <c r="M53" s="62">
        <f>SUM(M4:M52)</f>
        <v>0</v>
      </c>
      <c r="N53" s="62"/>
      <c r="O53" s="62">
        <f>SUM(O4:O52)</f>
        <v>1230188.7142857143</v>
      </c>
      <c r="P53" s="62"/>
      <c r="Q53" s="62">
        <f>SUM(Q4:Q52)</f>
        <v>1230188.7142857143</v>
      </c>
      <c r="R53" s="62">
        <f>SUM(R4:R52)</f>
        <v>0</v>
      </c>
      <c r="S53" s="62"/>
      <c r="T53" s="62">
        <f>SUM(T4:T52)</f>
        <v>7603643.4511278225</v>
      </c>
      <c r="U53" s="62"/>
      <c r="V53" s="62">
        <f>SUM(V4:V52)</f>
        <v>7603643.4511278225</v>
      </c>
      <c r="W53" s="62">
        <f>SUM(W4:W52)</f>
        <v>0</v>
      </c>
      <c r="X53" s="62"/>
      <c r="Y53" s="62">
        <f>SUM(Y4:Y52)</f>
        <v>-1983644.3773108358</v>
      </c>
      <c r="Z53" s="62"/>
      <c r="AA53" s="62">
        <f>SUM(AA4:AA52)</f>
        <v>-1983644.3773108358</v>
      </c>
      <c r="AB53" s="62">
        <f>SUM(AB4:AB52)</f>
        <v>0</v>
      </c>
      <c r="AC53" s="62"/>
      <c r="AD53" s="62">
        <f>SUM(AD4:AD52)</f>
        <v>-5779100.9699248113</v>
      </c>
      <c r="AE53" s="62"/>
      <c r="AF53" s="62">
        <f>SUM(AF4:AF52)</f>
        <v>-5779100.9699248113</v>
      </c>
      <c r="AG53" s="62">
        <f>SUM(AG4:AG52)</f>
        <v>0</v>
      </c>
      <c r="AH53" s="62"/>
      <c r="AI53" s="62">
        <f>SUM(AI4:AI52)</f>
        <v>-3485966.6839167154</v>
      </c>
      <c r="AJ53" s="62"/>
      <c r="AK53" s="62">
        <f>SUM(AK4:AK52)</f>
        <v>-3485966.6839167154</v>
      </c>
      <c r="AL53" s="62">
        <f>SUM(AL4:AL52)</f>
        <v>0</v>
      </c>
      <c r="AM53" s="62"/>
      <c r="AN53" s="62">
        <f>SUM(AN4:AN52)</f>
        <v>110188.71428571429</v>
      </c>
      <c r="AO53" s="62"/>
      <c r="AP53" s="62">
        <f>SUM(AP4:AP52)</f>
        <v>110188.71428571429</v>
      </c>
      <c r="AQ53" s="62">
        <f>SUM(AQ4:AQ52)</f>
        <v>0</v>
      </c>
      <c r="AR53" s="62"/>
      <c r="AS53" s="62">
        <f>SUM(AS4:AS52)</f>
        <v>133346.60902255634</v>
      </c>
      <c r="AT53" s="62"/>
      <c r="AU53" s="62">
        <f>SUM(AU4:AU52)</f>
        <v>133346.60902255634</v>
      </c>
      <c r="AV53" s="41">
        <f>F53</f>
        <v>-1533844.5424305564</v>
      </c>
      <c r="AW53" s="41">
        <f t="shared" si="45"/>
        <v>-1533844.5424305557</v>
      </c>
      <c r="AX53" s="41">
        <f t="shared" si="18"/>
        <v>-1533844.5424305564</v>
      </c>
      <c r="AY53" s="16"/>
    </row>
    <row r="54" spans="2:115" x14ac:dyDescent="0.25">
      <c r="C54" s="45"/>
      <c r="D54" s="43"/>
      <c r="E54" s="50"/>
      <c r="F54" s="34"/>
      <c r="G54" s="72"/>
      <c r="J54" s="37">
        <f>I54*F54</f>
        <v>0</v>
      </c>
      <c r="X54" s="127"/>
      <c r="Y54" s="128"/>
      <c r="Z54" s="129"/>
      <c r="AA54" s="128"/>
      <c r="AV54" s="41">
        <f>F54</f>
        <v>0</v>
      </c>
      <c r="AW54" s="41">
        <f t="shared" si="45"/>
        <v>0</v>
      </c>
      <c r="AX54" s="41">
        <f t="shared" si="18"/>
        <v>0</v>
      </c>
      <c r="AY54" s="16">
        <f t="shared" si="43"/>
        <v>0</v>
      </c>
    </row>
    <row r="55" spans="2:115" x14ac:dyDescent="0.25">
      <c r="B55" s="2" t="s">
        <v>187</v>
      </c>
      <c r="C55" s="45" t="s">
        <v>21</v>
      </c>
      <c r="D55" s="43">
        <v>1</v>
      </c>
      <c r="E55" s="50">
        <v>186080</v>
      </c>
      <c r="F55" s="94">
        <v>186080</v>
      </c>
      <c r="G55" s="141"/>
      <c r="J55" s="73">
        <v>0</v>
      </c>
      <c r="L55" s="7">
        <v>0</v>
      </c>
      <c r="N55" s="68">
        <v>0</v>
      </c>
      <c r="P55" s="69">
        <v>0</v>
      </c>
      <c r="R55" s="70">
        <v>0</v>
      </c>
      <c r="T55" s="7">
        <v>0</v>
      </c>
      <c r="W55" s="70">
        <v>0</v>
      </c>
      <c r="X55" s="127">
        <v>1</v>
      </c>
      <c r="Y55" s="39">
        <f>X55*F55</f>
        <v>186080</v>
      </c>
      <c r="Z55" s="129">
        <v>1</v>
      </c>
      <c r="AA55" s="39">
        <f>Z55*Y55</f>
        <v>186080</v>
      </c>
      <c r="AC55" s="68">
        <v>0</v>
      </c>
      <c r="AE55" s="69">
        <v>0</v>
      </c>
      <c r="AG55" s="70">
        <v>0</v>
      </c>
      <c r="AJ55" s="69">
        <v>0</v>
      </c>
      <c r="AL55" s="70">
        <v>0</v>
      </c>
      <c r="AN55" s="7">
        <v>0</v>
      </c>
      <c r="AP55" s="7">
        <v>0</v>
      </c>
      <c r="AR55" s="68">
        <v>0</v>
      </c>
      <c r="AT55" s="69">
        <v>0</v>
      </c>
      <c r="AV55" s="41">
        <f>F55</f>
        <v>186080</v>
      </c>
      <c r="AW55" s="41">
        <f t="shared" si="45"/>
        <v>186080</v>
      </c>
      <c r="AX55" s="41">
        <f t="shared" si="18"/>
        <v>186080</v>
      </c>
      <c r="AY55" s="16">
        <f t="shared" si="43"/>
        <v>0</v>
      </c>
      <c r="BG55" s="2">
        <v>0</v>
      </c>
      <c r="BJ55" s="2">
        <v>0</v>
      </c>
      <c r="BL55" s="2">
        <v>0</v>
      </c>
      <c r="BN55" s="2">
        <v>0</v>
      </c>
      <c r="BP55" s="2">
        <v>0</v>
      </c>
      <c r="BR55" s="2">
        <v>0</v>
      </c>
      <c r="BT55" s="2">
        <v>0</v>
      </c>
      <c r="BW55" s="2">
        <v>0</v>
      </c>
      <c r="BY55" s="2">
        <v>0</v>
      </c>
      <c r="CA55" s="2">
        <v>0</v>
      </c>
      <c r="CC55" s="2">
        <v>0</v>
      </c>
      <c r="CE55" s="2">
        <v>0</v>
      </c>
      <c r="CG55" s="2">
        <v>0</v>
      </c>
      <c r="CJ55" s="2">
        <v>0</v>
      </c>
      <c r="CL55" s="2">
        <v>0</v>
      </c>
      <c r="CN55" s="2">
        <v>0</v>
      </c>
      <c r="CP55" s="2">
        <v>0</v>
      </c>
      <c r="CR55" s="2">
        <v>0</v>
      </c>
      <c r="CT55" s="2">
        <v>0</v>
      </c>
      <c r="CW55" s="2">
        <v>0</v>
      </c>
      <c r="CY55" s="2">
        <v>0</v>
      </c>
      <c r="DA55" s="2">
        <v>0</v>
      </c>
      <c r="DC55" s="2">
        <v>0</v>
      </c>
      <c r="DE55" s="2">
        <v>0</v>
      </c>
      <c r="DG55" s="2">
        <v>0</v>
      </c>
      <c r="DH55" s="2">
        <v>186080</v>
      </c>
      <c r="DI55" s="2">
        <v>186080</v>
      </c>
      <c r="DJ55" s="2">
        <v>186080</v>
      </c>
      <c r="DK55" s="2">
        <v>0</v>
      </c>
    </row>
    <row r="56" spans="2:115" x14ac:dyDescent="0.25">
      <c r="B56" s="2" t="s">
        <v>50</v>
      </c>
      <c r="C56" s="45" t="s">
        <v>33</v>
      </c>
      <c r="D56" s="43">
        <v>9304</v>
      </c>
      <c r="E56" s="50">
        <v>65</v>
      </c>
      <c r="F56" s="94">
        <v>604760</v>
      </c>
      <c r="G56" s="141"/>
      <c r="J56" s="73">
        <v>0</v>
      </c>
      <c r="L56" s="7">
        <v>0</v>
      </c>
      <c r="N56" s="68">
        <v>0</v>
      </c>
      <c r="P56" s="69">
        <v>0</v>
      </c>
      <c r="R56" s="70">
        <v>0</v>
      </c>
      <c r="T56" s="7">
        <v>0</v>
      </c>
      <c r="W56" s="70">
        <v>0</v>
      </c>
      <c r="X56" s="127">
        <v>1</v>
      </c>
      <c r="Y56" s="39">
        <f>X56*F56</f>
        <v>604760</v>
      </c>
      <c r="Z56" s="129">
        <v>1</v>
      </c>
      <c r="AA56" s="39">
        <f>Z56*Y56</f>
        <v>604760</v>
      </c>
      <c r="AC56" s="68">
        <v>0</v>
      </c>
      <c r="AE56" s="69">
        <v>0</v>
      </c>
      <c r="AG56" s="70">
        <v>0</v>
      </c>
      <c r="AJ56" s="69">
        <v>0</v>
      </c>
      <c r="AL56" s="70">
        <v>0</v>
      </c>
      <c r="AN56" s="7">
        <v>0</v>
      </c>
      <c r="AP56" s="7">
        <v>0</v>
      </c>
      <c r="AR56" s="68">
        <v>0</v>
      </c>
      <c r="AT56" s="69">
        <v>0</v>
      </c>
      <c r="AV56" s="41">
        <f>F56</f>
        <v>604760</v>
      </c>
      <c r="AW56" s="41">
        <f t="shared" si="45"/>
        <v>604760</v>
      </c>
      <c r="AX56" s="41">
        <f t="shared" si="18"/>
        <v>604760</v>
      </c>
      <c r="AY56" s="16">
        <f t="shared" si="43"/>
        <v>0</v>
      </c>
      <c r="BG56" s="2">
        <v>0</v>
      </c>
      <c r="BJ56" s="2">
        <v>0</v>
      </c>
      <c r="BL56" s="2">
        <v>0</v>
      </c>
      <c r="BN56" s="2">
        <v>0</v>
      </c>
      <c r="BP56" s="2">
        <v>0</v>
      </c>
      <c r="BR56" s="2">
        <v>0</v>
      </c>
      <c r="BT56" s="2">
        <v>0</v>
      </c>
      <c r="BW56" s="2">
        <v>0</v>
      </c>
      <c r="BY56" s="2">
        <v>0</v>
      </c>
      <c r="CA56" s="2">
        <v>0</v>
      </c>
      <c r="CC56" s="2">
        <v>0</v>
      </c>
      <c r="CE56" s="2">
        <v>0</v>
      </c>
      <c r="CG56" s="2">
        <v>0</v>
      </c>
      <c r="CJ56" s="2">
        <v>0</v>
      </c>
      <c r="CL56" s="2">
        <v>0</v>
      </c>
      <c r="CN56" s="2">
        <v>0</v>
      </c>
      <c r="CP56" s="2">
        <v>0</v>
      </c>
      <c r="CR56" s="2">
        <v>0</v>
      </c>
      <c r="CT56" s="2">
        <v>0</v>
      </c>
      <c r="CW56" s="2">
        <v>0</v>
      </c>
      <c r="CY56" s="2">
        <v>0</v>
      </c>
      <c r="DA56" s="2">
        <v>0</v>
      </c>
      <c r="DC56" s="2">
        <v>0</v>
      </c>
      <c r="DE56" s="2">
        <v>0</v>
      </c>
      <c r="DG56" s="2">
        <v>0</v>
      </c>
      <c r="DH56" s="2">
        <v>604760</v>
      </c>
      <c r="DI56" s="2">
        <v>604760</v>
      </c>
      <c r="DJ56" s="2">
        <v>604760</v>
      </c>
      <c r="DK56" s="2">
        <v>0</v>
      </c>
    </row>
    <row r="57" spans="2:115" x14ac:dyDescent="0.25">
      <c r="B57" s="46"/>
      <c r="C57" s="54"/>
      <c r="D57" s="71"/>
      <c r="E57" s="72"/>
      <c r="F57" s="72"/>
      <c r="G57" s="72"/>
      <c r="H57" s="55"/>
      <c r="I57" s="56"/>
      <c r="J57" s="109" t="s">
        <v>188</v>
      </c>
      <c r="K57" s="110"/>
      <c r="L57" s="111"/>
      <c r="M57" s="55"/>
      <c r="N57" s="56"/>
      <c r="O57" s="73"/>
      <c r="P57" s="57"/>
      <c r="Q57" s="74"/>
      <c r="R57" s="55"/>
      <c r="S57" s="56"/>
      <c r="T57" s="73"/>
      <c r="U57" s="57"/>
      <c r="V57" s="74"/>
      <c r="W57" s="55"/>
      <c r="X57" s="56"/>
      <c r="Y57" s="73"/>
      <c r="Z57" s="57"/>
      <c r="AA57" s="74"/>
      <c r="AB57" s="55"/>
      <c r="AC57" s="56"/>
      <c r="AD57" s="73"/>
      <c r="AE57" s="57"/>
      <c r="AF57" s="74"/>
      <c r="AG57" s="55"/>
      <c r="AH57" s="56"/>
      <c r="AI57" s="73"/>
      <c r="AJ57" s="57"/>
      <c r="AK57" s="74"/>
      <c r="AL57" s="55"/>
      <c r="AM57" s="56"/>
      <c r="AN57" s="73"/>
      <c r="AO57" s="57"/>
      <c r="AP57" s="74"/>
      <c r="AQ57" s="55"/>
      <c r="AR57" s="56"/>
      <c r="AS57" s="73"/>
      <c r="AT57" s="57"/>
      <c r="AU57" s="74"/>
      <c r="AV57" s="41"/>
      <c r="AW57" s="41"/>
      <c r="AX57" s="41"/>
      <c r="AY57" s="16"/>
    </row>
    <row r="58" spans="2:115" x14ac:dyDescent="0.25">
      <c r="J58" s="124" t="s">
        <v>189</v>
      </c>
      <c r="K58" s="130"/>
      <c r="L58" s="54"/>
    </row>
    <row r="59" spans="2:115" x14ac:dyDescent="0.25">
      <c r="B59" s="75" t="s">
        <v>165</v>
      </c>
      <c r="J59" s="72">
        <v>-257.89473684210526</v>
      </c>
      <c r="K59" s="72"/>
      <c r="L59" s="131"/>
    </row>
    <row r="60" spans="2:115" x14ac:dyDescent="0.25">
      <c r="B60" s="75" t="s">
        <v>166</v>
      </c>
      <c r="J60" s="112">
        <v>-0.53184210526315778</v>
      </c>
      <c r="K60" s="112"/>
      <c r="L60" s="131"/>
    </row>
    <row r="61" spans="2:115" x14ac:dyDescent="0.25">
      <c r="B61" s="75" t="s">
        <v>167</v>
      </c>
      <c r="J61" s="112">
        <v>-0.49738461538461542</v>
      </c>
      <c r="K61" s="112"/>
      <c r="L61" s="131"/>
    </row>
    <row r="62" spans="2:115" x14ac:dyDescent="0.25">
      <c r="B62" s="44" t="s">
        <v>168</v>
      </c>
      <c r="J62" s="112">
        <v>-0.31637681159420289</v>
      </c>
      <c r="K62" s="112"/>
      <c r="L62" s="131"/>
    </row>
    <row r="63" spans="2:115" x14ac:dyDescent="0.25">
      <c r="B63" s="44" t="s">
        <v>169</v>
      </c>
      <c r="J63" s="112">
        <v>-0.38478260869565212</v>
      </c>
      <c r="K63" s="112"/>
      <c r="L63" s="131"/>
    </row>
    <row r="64" spans="2:115" x14ac:dyDescent="0.25">
      <c r="B64" s="44" t="s">
        <v>170</v>
      </c>
      <c r="J64" s="72">
        <v>-619.38461538461536</v>
      </c>
      <c r="K64" s="72"/>
      <c r="L64" s="131"/>
    </row>
    <row r="65" spans="1:51" x14ac:dyDescent="0.25">
      <c r="B65" s="44" t="s">
        <v>171</v>
      </c>
      <c r="J65" s="112">
        <v>-0.60872727272727267</v>
      </c>
      <c r="K65" s="112"/>
      <c r="L65" s="131"/>
    </row>
    <row r="66" spans="1:51" x14ac:dyDescent="0.25">
      <c r="B66" s="44" t="s">
        <v>172</v>
      </c>
      <c r="J66" s="112">
        <v>-2.11</v>
      </c>
      <c r="K66" s="112"/>
      <c r="L66" s="131"/>
    </row>
    <row r="67" spans="1:51" s="63" customFormat="1" x14ac:dyDescent="0.25">
      <c r="A67" s="1"/>
      <c r="B67" s="44" t="s">
        <v>173</v>
      </c>
      <c r="D67" s="64"/>
      <c r="E67" s="65"/>
      <c r="F67" s="66"/>
      <c r="G67" s="66"/>
      <c r="H67" s="67"/>
      <c r="I67" s="68"/>
      <c r="J67" s="112">
        <v>-2.11</v>
      </c>
      <c r="K67" s="132"/>
      <c r="L67" s="133"/>
      <c r="M67" s="67"/>
      <c r="N67" s="68"/>
      <c r="O67" s="7"/>
      <c r="P67" s="69"/>
      <c r="Q67" s="7"/>
      <c r="R67" s="70"/>
      <c r="S67" s="68"/>
      <c r="T67" s="7"/>
      <c r="U67" s="69"/>
      <c r="V67" s="7"/>
      <c r="W67" s="70"/>
      <c r="X67" s="68"/>
      <c r="Y67" s="7"/>
      <c r="Z67" s="69"/>
      <c r="AA67" s="7"/>
      <c r="AB67" s="70"/>
      <c r="AC67" s="68"/>
      <c r="AD67" s="7"/>
      <c r="AE67" s="69"/>
      <c r="AF67" s="7"/>
      <c r="AG67" s="70"/>
      <c r="AH67" s="68"/>
      <c r="AI67" s="7"/>
      <c r="AJ67" s="69"/>
      <c r="AK67" s="7"/>
      <c r="AL67" s="70"/>
      <c r="AM67" s="68"/>
      <c r="AN67" s="7"/>
      <c r="AO67" s="69"/>
      <c r="AP67" s="7"/>
      <c r="AQ67" s="70"/>
      <c r="AR67" s="68"/>
      <c r="AS67" s="7"/>
      <c r="AT67" s="69"/>
      <c r="AU67" s="7"/>
      <c r="AV67" s="6"/>
      <c r="AW67" s="7"/>
      <c r="AX67" s="7"/>
      <c r="AY67" s="2"/>
    </row>
    <row r="68" spans="1:51" x14ac:dyDescent="0.25">
      <c r="B68" s="44" t="s">
        <v>174</v>
      </c>
      <c r="J68" s="112">
        <v>-0.47</v>
      </c>
      <c r="K68" s="112"/>
      <c r="L68" s="131"/>
    </row>
    <row r="69" spans="1:51" x14ac:dyDescent="0.25">
      <c r="B69" s="44"/>
      <c r="J69" s="134"/>
      <c r="K69" s="132"/>
      <c r="L69" s="133"/>
    </row>
    <row r="70" spans="1:51" x14ac:dyDescent="0.25">
      <c r="B70" s="75"/>
      <c r="J70" s="131"/>
      <c r="K70" s="132"/>
      <c r="L70" s="133"/>
    </row>
    <row r="71" spans="1:51" x14ac:dyDescent="0.25">
      <c r="B71" s="44"/>
      <c r="J71" s="131"/>
      <c r="K71" s="132"/>
      <c r="L71" s="133"/>
    </row>
    <row r="72" spans="1:51" x14ac:dyDescent="0.25">
      <c r="F72" s="66">
        <f>SUM(F53:F70)</f>
        <v>-743004.54243055638</v>
      </c>
    </row>
  </sheetData>
  <mergeCells count="18">
    <mergeCell ref="AE2:AF2"/>
    <mergeCell ref="AJ2:AK2"/>
    <mergeCell ref="C1:F1"/>
    <mergeCell ref="I1:L1"/>
    <mergeCell ref="N1:Q1"/>
    <mergeCell ref="S1:V1"/>
    <mergeCell ref="X1:AA1"/>
    <mergeCell ref="AC1:AF1"/>
    <mergeCell ref="C2:F2"/>
    <mergeCell ref="K2:L2"/>
    <mergeCell ref="P2:Q2"/>
    <mergeCell ref="U2:V2"/>
    <mergeCell ref="Z2:AA2"/>
    <mergeCell ref="AO2:AP2"/>
    <mergeCell ref="AT2:AU2"/>
    <mergeCell ref="AH1:AK1"/>
    <mergeCell ref="AM1:AP1"/>
    <mergeCell ref="AR1:AU1"/>
  </mergeCells>
  <printOptions gridLines="1"/>
  <pageMargins left="0.2" right="0.2" top="0.75" bottom="0.75" header="0.3" footer="0.3"/>
  <pageSetup scale="67" fitToWidth="12" fitToHeight="5" orientation="portrait" r:id="rId1"/>
  <colBreaks count="8" manualBreakCount="8">
    <brk id="7" max="60" man="1"/>
    <brk id="12" max="60" man="1"/>
    <brk id="17" max="60" man="1"/>
    <brk id="22" max="60" man="1"/>
    <brk id="27" max="60" man="1"/>
    <brk id="32" max="60" man="1"/>
    <brk id="37" max="60" man="1"/>
    <brk id="42" max="60"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2"/>
  <sheetViews>
    <sheetView workbookViewId="0">
      <selection activeCell="F11" sqref="F11"/>
    </sheetView>
  </sheetViews>
  <sheetFormatPr defaultRowHeight="15" x14ac:dyDescent="0.25"/>
  <cols>
    <col min="1" max="1" width="12.7109375" style="156" bestFit="1" customWidth="1"/>
    <col min="2" max="2" width="10.7109375" style="156" bestFit="1" customWidth="1"/>
    <col min="3" max="3" width="10.85546875" style="156" bestFit="1" customWidth="1"/>
    <col min="4" max="4" width="32.28515625" style="156" bestFit="1" customWidth="1"/>
    <col min="5" max="16384" width="9.140625" style="156"/>
  </cols>
  <sheetData>
    <row r="1" spans="1:6" x14ac:dyDescent="0.25">
      <c r="A1" s="157">
        <v>41639</v>
      </c>
    </row>
    <row r="2" spans="1:6" x14ac:dyDescent="0.25">
      <c r="A2" s="156" t="s">
        <v>205</v>
      </c>
      <c r="B2" s="156" t="s">
        <v>206</v>
      </c>
      <c r="C2" s="156" t="s">
        <v>207</v>
      </c>
      <c r="D2" s="156" t="s">
        <v>208</v>
      </c>
    </row>
    <row r="3" spans="1:6" x14ac:dyDescent="0.25">
      <c r="A3" s="156" t="s">
        <v>209</v>
      </c>
      <c r="B3" s="158">
        <v>41639</v>
      </c>
      <c r="C3" s="107" t="s">
        <v>210</v>
      </c>
      <c r="D3" s="107" t="s">
        <v>211</v>
      </c>
    </row>
    <row r="4" spans="1:6" x14ac:dyDescent="0.25">
      <c r="A4" s="156" t="s">
        <v>212</v>
      </c>
      <c r="B4" s="158">
        <v>41635</v>
      </c>
      <c r="C4" s="107" t="s">
        <v>213</v>
      </c>
      <c r="D4" s="107" t="s">
        <v>214</v>
      </c>
    </row>
    <row r="5" spans="1:6" x14ac:dyDescent="0.25">
      <c r="A5" s="156" t="s">
        <v>215</v>
      </c>
      <c r="B5" s="158">
        <v>41635</v>
      </c>
      <c r="C5" s="107" t="s">
        <v>216</v>
      </c>
      <c r="D5" s="107" t="s">
        <v>217</v>
      </c>
    </row>
    <row r="6" spans="1:6" x14ac:dyDescent="0.25">
      <c r="A6" s="156" t="s">
        <v>218</v>
      </c>
      <c r="B6" s="158">
        <v>41639</v>
      </c>
      <c r="C6" s="107" t="s">
        <v>219</v>
      </c>
      <c r="D6" s="107" t="s">
        <v>220</v>
      </c>
    </row>
    <row r="7" spans="1:6" x14ac:dyDescent="0.25">
      <c r="A7" s="156" t="s">
        <v>221</v>
      </c>
      <c r="B7" s="158">
        <v>41639</v>
      </c>
      <c r="C7" s="107" t="s">
        <v>210</v>
      </c>
      <c r="D7" s="107" t="s">
        <v>222</v>
      </c>
    </row>
    <row r="8" spans="1:6" x14ac:dyDescent="0.25">
      <c r="A8" s="156" t="s">
        <v>223</v>
      </c>
      <c r="B8" s="158">
        <v>41614</v>
      </c>
      <c r="C8" s="107" t="s">
        <v>224</v>
      </c>
      <c r="D8" s="107" t="s">
        <v>225</v>
      </c>
    </row>
    <row r="9" spans="1:6" x14ac:dyDescent="0.25">
      <c r="A9" s="156" t="s">
        <v>226</v>
      </c>
      <c r="B9" s="158">
        <v>41639</v>
      </c>
      <c r="C9" s="107" t="s">
        <v>227</v>
      </c>
      <c r="D9" s="107" t="s">
        <v>228</v>
      </c>
    </row>
    <row r="10" spans="1:6" x14ac:dyDescent="0.25">
      <c r="A10" s="156" t="s">
        <v>229</v>
      </c>
      <c r="B10" s="158">
        <v>41639</v>
      </c>
      <c r="C10" s="107" t="s">
        <v>230</v>
      </c>
      <c r="D10" s="107" t="s">
        <v>231</v>
      </c>
    </row>
    <row r="11" spans="1:6" x14ac:dyDescent="0.25">
      <c r="A11" s="156" t="s">
        <v>232</v>
      </c>
      <c r="B11" s="158">
        <v>41639</v>
      </c>
      <c r="C11" s="107" t="s">
        <v>230</v>
      </c>
      <c r="D11" s="107" t="s">
        <v>233</v>
      </c>
      <c r="F11" s="156">
        <f>2000*0.55</f>
        <v>1100</v>
      </c>
    </row>
    <row r="12" spans="1:6" x14ac:dyDescent="0.25">
      <c r="A12" s="156" t="s">
        <v>234</v>
      </c>
      <c r="B12" s="158">
        <v>41639</v>
      </c>
      <c r="C12" s="107" t="s">
        <v>210</v>
      </c>
      <c r="D12" s="107" t="s">
        <v>235</v>
      </c>
    </row>
  </sheetData>
  <pageMargins left="0.7" right="0.7" top="0.75" bottom="0.75" header="0.3" footer="0.3"/>
  <pageSetup scale="1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9"/>
  <sheetViews>
    <sheetView workbookViewId="0">
      <selection activeCell="M9" sqref="M9"/>
    </sheetView>
  </sheetViews>
  <sheetFormatPr defaultRowHeight="15" x14ac:dyDescent="0.25"/>
  <cols>
    <col min="1" max="3" width="14.7109375" style="167" customWidth="1"/>
    <col min="4" max="4" width="7.140625" style="167" customWidth="1"/>
    <col min="5" max="5" width="12.85546875" style="167" customWidth="1"/>
    <col min="6" max="6" width="16.42578125" style="167" customWidth="1"/>
    <col min="7" max="7" width="5.5703125" style="167" customWidth="1"/>
    <col min="8" max="8" width="16.5703125" style="167" customWidth="1"/>
    <col min="9" max="9" width="17.7109375" style="167" customWidth="1"/>
    <col min="10" max="10" width="55" style="167" customWidth="1"/>
    <col min="11" max="11" width="24.42578125" style="167" customWidth="1"/>
    <col min="12" max="12" width="18" style="167" customWidth="1"/>
    <col min="13" max="13" width="24.140625" style="167" customWidth="1"/>
    <col min="14" max="16" width="14" style="167" customWidth="1"/>
    <col min="17" max="17" width="14" style="145" customWidth="1"/>
    <col min="18" max="19" width="14" style="107" customWidth="1"/>
    <col min="20" max="20" width="16" style="167" customWidth="1"/>
    <col min="21" max="21" width="9.140625" style="167"/>
    <col min="22" max="22" width="101.85546875" style="167" bestFit="1" customWidth="1"/>
    <col min="23" max="16384" width="9.140625" style="167"/>
  </cols>
  <sheetData>
    <row r="1" spans="1:24" x14ac:dyDescent="0.25">
      <c r="H1" s="78">
        <f>SUBTOTAL(9,$I$3:$I$289)</f>
        <v>231896140.7122772</v>
      </c>
      <c r="I1" s="79">
        <f>SUMIFS($I$3:$I$289,$T$3:$T$289,"BDG")</f>
        <v>24467249.635496229</v>
      </c>
      <c r="J1" s="79"/>
      <c r="K1" s="79">
        <f>SUMIFS($I$3:$I$289,$U$3:$U$289,"MARKUP",$S$3:$S$289,"REMOVAL")</f>
        <v>45228744.000000007</v>
      </c>
      <c r="O1" s="80">
        <f>P1-I1</f>
        <v>0</v>
      </c>
      <c r="P1" s="80">
        <f>'Scherer Data'!F62</f>
        <v>24467249.635496218</v>
      </c>
      <c r="Q1" s="153" t="s">
        <v>201</v>
      </c>
      <c r="R1" s="150">
        <v>0.75</v>
      </c>
      <c r="S1" s="150">
        <v>0.25</v>
      </c>
      <c r="T1" s="152" t="s">
        <v>202</v>
      </c>
    </row>
    <row r="2" spans="1:24" x14ac:dyDescent="0.25">
      <c r="A2" s="81" t="s">
        <v>51</v>
      </c>
      <c r="B2" s="82" t="s">
        <v>161</v>
      </c>
      <c r="C2" s="82" t="s">
        <v>162</v>
      </c>
      <c r="D2" s="81" t="s">
        <v>52</v>
      </c>
      <c r="E2" s="81" t="s">
        <v>53</v>
      </c>
      <c r="F2" s="81" t="s">
        <v>54</v>
      </c>
      <c r="G2" s="81" t="s">
        <v>55</v>
      </c>
      <c r="H2" s="81" t="s">
        <v>56</v>
      </c>
      <c r="I2" s="81" t="s">
        <v>57</v>
      </c>
      <c r="J2" s="81" t="s">
        <v>58</v>
      </c>
      <c r="K2" s="81" t="s">
        <v>59</v>
      </c>
      <c r="L2" s="81" t="s">
        <v>60</v>
      </c>
      <c r="M2" s="81" t="s">
        <v>248</v>
      </c>
      <c r="N2" s="81" t="s">
        <v>249</v>
      </c>
      <c r="O2" s="81" t="s">
        <v>250</v>
      </c>
      <c r="P2" s="83" t="s">
        <v>61</v>
      </c>
      <c r="Q2" s="146" t="s">
        <v>199</v>
      </c>
      <c r="R2" s="83" t="s">
        <v>200</v>
      </c>
      <c r="S2" s="95" t="s">
        <v>142</v>
      </c>
      <c r="T2" s="84">
        <v>1</v>
      </c>
      <c r="U2" s="84">
        <v>2</v>
      </c>
      <c r="V2" s="84">
        <v>3</v>
      </c>
    </row>
    <row r="3" spans="1:24" ht="15" customHeight="1" x14ac:dyDescent="0.25">
      <c r="A3" s="85" t="s">
        <v>96</v>
      </c>
      <c r="B3" s="86" t="s">
        <v>151</v>
      </c>
      <c r="C3" s="86" t="s">
        <v>71</v>
      </c>
      <c r="D3" s="85" t="s">
        <v>72</v>
      </c>
      <c r="E3" s="102" t="s">
        <v>194</v>
      </c>
      <c r="F3" s="87">
        <v>1</v>
      </c>
      <c r="G3" s="85" t="s">
        <v>14</v>
      </c>
      <c r="H3" s="169">
        <f>SUMIFS($I$3:$I$289,$E$3:$E$289,$E3,$U$3:$U$289,"MARKUP",$S$3:$S$289,"REMOVAL")*0.01*Q3</f>
        <v>6336.4000000000005</v>
      </c>
      <c r="I3" s="89">
        <f>F3*H3</f>
        <v>6336.4000000000005</v>
      </c>
      <c r="J3" s="105" t="s">
        <v>97</v>
      </c>
      <c r="K3" s="85" t="s">
        <v>63</v>
      </c>
      <c r="L3" s="85" t="s">
        <v>63</v>
      </c>
      <c r="M3" s="85" t="str">
        <f t="shared" ref="M3:M37" si="0">J3</f>
        <v>ADMINISTRATIVE &amp; GENERAL OVERHEAD</v>
      </c>
      <c r="N3" s="84">
        <f t="shared" ref="N3:N68" si="1">H3</f>
        <v>6336.4000000000005</v>
      </c>
      <c r="O3" s="87">
        <f t="shared" ref="O3:O68" si="2">I3</f>
        <v>6336.4000000000005</v>
      </c>
      <c r="P3" s="88" t="s">
        <v>65</v>
      </c>
      <c r="Q3" s="147">
        <v>6.25E-2</v>
      </c>
      <c r="R3" s="143" t="s">
        <v>237</v>
      </c>
      <c r="S3" s="96" t="s">
        <v>143</v>
      </c>
      <c r="T3" s="84" t="s">
        <v>66</v>
      </c>
      <c r="U3" s="84"/>
      <c r="V3" s="84" t="str">
        <f t="shared" ref="V3:V68" si="3">A3&amp;C3&amp;D3&amp;E3&amp;F3&amp;G3&amp;H3&amp;J3</f>
        <v>3090481CCLRSCHERER-ECO1%6336.4ADMINISTRATIVE &amp; GENERAL OVERHEAD</v>
      </c>
    </row>
    <row r="4" spans="1:24" ht="15" customHeight="1" x14ac:dyDescent="0.25">
      <c r="A4" s="85" t="s">
        <v>96</v>
      </c>
      <c r="B4" s="86" t="s">
        <v>151</v>
      </c>
      <c r="C4" s="86" t="s">
        <v>71</v>
      </c>
      <c r="D4" s="85" t="s">
        <v>72</v>
      </c>
      <c r="E4" s="85" t="s">
        <v>193</v>
      </c>
      <c r="F4" s="87">
        <v>1</v>
      </c>
      <c r="G4" s="85" t="s">
        <v>14</v>
      </c>
      <c r="H4" s="169">
        <f>SUMIFS($I$3:$I$289,$E$3:$E$289,$E4,$U$3:$U$289,"MARKUP",$S$3:$S$289,"REMOVAL")*0.01*Q4</f>
        <v>21931.565000000006</v>
      </c>
      <c r="I4" s="89">
        <f>F4*H4</f>
        <v>21931.565000000006</v>
      </c>
      <c r="J4" s="105" t="s">
        <v>97</v>
      </c>
      <c r="K4" s="85" t="s">
        <v>63</v>
      </c>
      <c r="L4" s="85" t="s">
        <v>63</v>
      </c>
      <c r="M4" s="85" t="str">
        <f t="shared" si="0"/>
        <v>ADMINISTRATIVE &amp; GENERAL OVERHEAD</v>
      </c>
      <c r="N4" s="84">
        <f t="shared" si="1"/>
        <v>21931.565000000006</v>
      </c>
      <c r="O4" s="87">
        <f t="shared" si="2"/>
        <v>21931.565000000006</v>
      </c>
      <c r="P4" s="88" t="s">
        <v>73</v>
      </c>
      <c r="Q4" s="147">
        <v>6.25E-2</v>
      </c>
      <c r="R4" s="143" t="s">
        <v>237</v>
      </c>
      <c r="S4" s="96" t="s">
        <v>143</v>
      </c>
      <c r="T4" s="84" t="s">
        <v>66</v>
      </c>
      <c r="U4" s="84"/>
      <c r="V4" s="84" t="str">
        <f t="shared" si="3"/>
        <v>3090481CCLRSCHERER-NON1%21931.565ADMINISTRATIVE &amp; GENERAL OVERHEAD</v>
      </c>
    </row>
    <row r="5" spans="1:24" ht="15" customHeight="1" x14ac:dyDescent="0.25">
      <c r="A5" s="85" t="s">
        <v>106</v>
      </c>
      <c r="B5" s="86" t="s">
        <v>152</v>
      </c>
      <c r="C5" s="86" t="s">
        <v>71</v>
      </c>
      <c r="D5" s="85" t="s">
        <v>72</v>
      </c>
      <c r="E5" s="85" t="s">
        <v>193</v>
      </c>
      <c r="F5" s="92">
        <f>'Scherer Data'!$D$51*Q5</f>
        <v>40.625</v>
      </c>
      <c r="G5" s="85" t="s">
        <v>33</v>
      </c>
      <c r="H5" s="90">
        <f>'Scherer Data'!$E$51</f>
        <v>255.1</v>
      </c>
      <c r="I5" s="116">
        <f>'Scherer Data'!$F$51*Q5</f>
        <v>9750</v>
      </c>
      <c r="J5" s="85" t="s">
        <v>107</v>
      </c>
      <c r="K5" s="85" t="s">
        <v>63</v>
      </c>
      <c r="L5" s="85" t="s">
        <v>63</v>
      </c>
      <c r="M5" s="85" t="str">
        <f t="shared" si="0"/>
        <v>ANCILLARY BUILDINGS - Demo</v>
      </c>
      <c r="N5" s="84">
        <f t="shared" si="1"/>
        <v>255.1</v>
      </c>
      <c r="O5" s="87">
        <f t="shared" si="2"/>
        <v>9750</v>
      </c>
      <c r="P5" s="88" t="s">
        <v>73</v>
      </c>
      <c r="Q5" s="147">
        <v>6.25E-2</v>
      </c>
      <c r="R5" s="143" t="s">
        <v>237</v>
      </c>
      <c r="S5" s="96" t="s">
        <v>143</v>
      </c>
      <c r="T5" s="84" t="s">
        <v>82</v>
      </c>
      <c r="U5" s="84" t="s">
        <v>99</v>
      </c>
      <c r="V5" s="84" t="str">
        <f t="shared" si="3"/>
        <v>311UNDCCLRSCHERER-NON40.625nt255.1ANCILLARY BUILDINGS - Demo</v>
      </c>
    </row>
    <row r="6" spans="1:24" ht="15" customHeight="1" x14ac:dyDescent="0.25">
      <c r="A6" s="85" t="s">
        <v>106</v>
      </c>
      <c r="B6" s="86" t="s">
        <v>152</v>
      </c>
      <c r="C6" s="86" t="s">
        <v>71</v>
      </c>
      <c r="D6" s="85" t="s">
        <v>108</v>
      </c>
      <c r="E6" s="85" t="s">
        <v>193</v>
      </c>
      <c r="F6" s="92">
        <f>'Scherer Data'!$D$52*Q6</f>
        <v>40.625</v>
      </c>
      <c r="G6" s="85" t="s">
        <v>33</v>
      </c>
      <c r="H6" s="90">
        <f>'Scherer Data'!$E$52</f>
        <v>-108.3695731319762</v>
      </c>
      <c r="I6" s="116">
        <f>'Scherer Data'!$F$52*Q6</f>
        <v>-4402.5139084865332</v>
      </c>
      <c r="J6" s="85" t="s">
        <v>109</v>
      </c>
      <c r="K6" s="85" t="s">
        <v>110</v>
      </c>
      <c r="L6" s="85" t="s">
        <v>63</v>
      </c>
      <c r="M6" s="85" t="str">
        <f t="shared" si="0"/>
        <v>ANCILLARY BUILDINGS - FE SALES</v>
      </c>
      <c r="N6" s="84">
        <f t="shared" si="1"/>
        <v>-108.3695731319762</v>
      </c>
      <c r="O6" s="87">
        <f t="shared" si="2"/>
        <v>-4402.5139084865332</v>
      </c>
      <c r="P6" s="88" t="s">
        <v>73</v>
      </c>
      <c r="Q6" s="147">
        <v>6.25E-2</v>
      </c>
      <c r="R6" s="143" t="s">
        <v>237</v>
      </c>
      <c r="S6" s="96" t="s">
        <v>145</v>
      </c>
      <c r="T6" s="84" t="s">
        <v>82</v>
      </c>
      <c r="U6" s="84" t="s">
        <v>99</v>
      </c>
      <c r="V6" s="84" t="str">
        <f t="shared" si="3"/>
        <v>311UNDCCMSSCHERER-NON40.625nt-108.369573131976ANCILLARY BUILDINGS - FE SALES</v>
      </c>
    </row>
    <row r="7" spans="1:24" ht="15" customHeight="1" x14ac:dyDescent="0.25">
      <c r="A7" s="85" t="s">
        <v>115</v>
      </c>
      <c r="B7" s="86" t="s">
        <v>158</v>
      </c>
      <c r="C7" s="101" t="s">
        <v>149</v>
      </c>
      <c r="D7" s="85" t="s">
        <v>69</v>
      </c>
      <c r="E7" s="102" t="s">
        <v>194</v>
      </c>
      <c r="F7" s="92">
        <f>'Scherer Data'!$D$47/4*Q7</f>
        <v>543.75</v>
      </c>
      <c r="G7" s="85" t="s">
        <v>33</v>
      </c>
      <c r="H7" s="91">
        <f>'Scherer Data'!$E$47</f>
        <v>255.1</v>
      </c>
      <c r="I7" s="116">
        <f>'Scherer Data'!$F$47/4*Q7</f>
        <v>130500</v>
      </c>
      <c r="J7" s="85" t="s">
        <v>197</v>
      </c>
      <c r="K7" s="85" t="s">
        <v>63</v>
      </c>
      <c r="L7" s="85" t="s">
        <v>63</v>
      </c>
      <c r="M7" s="85" t="str">
        <f t="shared" si="0"/>
        <v>Baghouses - DEMO</v>
      </c>
      <c r="N7" s="84">
        <f t="shared" si="1"/>
        <v>255.1</v>
      </c>
      <c r="O7" s="87">
        <f t="shared" si="2"/>
        <v>130500</v>
      </c>
      <c r="P7" s="88" t="s">
        <v>65</v>
      </c>
      <c r="Q7" s="147">
        <v>0.25</v>
      </c>
      <c r="R7" s="143" t="s">
        <v>237</v>
      </c>
      <c r="S7" s="96" t="s">
        <v>143</v>
      </c>
      <c r="T7" s="84" t="s">
        <v>82</v>
      </c>
      <c r="U7" s="84" t="s">
        <v>99</v>
      </c>
      <c r="V7" s="84" t="str">
        <f t="shared" si="3"/>
        <v>312UND33LRSCHERER-ECO543.75nt255.1Baghouses - DEMO</v>
      </c>
    </row>
    <row r="8" spans="1:24" s="172" customFormat="1" x14ac:dyDescent="0.25">
      <c r="A8" s="85" t="s">
        <v>251</v>
      </c>
      <c r="B8" s="86" t="s">
        <v>152</v>
      </c>
      <c r="C8" s="86" t="s">
        <v>71</v>
      </c>
      <c r="D8" s="85" t="s">
        <v>72</v>
      </c>
      <c r="E8" s="102" t="s">
        <v>255</v>
      </c>
      <c r="F8" s="175">
        <v>581</v>
      </c>
      <c r="G8" s="85" t="s">
        <v>252</v>
      </c>
      <c r="H8" s="169">
        <f>I8/F8</f>
        <v>343910.33593387424</v>
      </c>
      <c r="I8" s="176">
        <v>199811905.17758095</v>
      </c>
      <c r="J8" s="85" t="s">
        <v>253</v>
      </c>
      <c r="K8" s="85" t="s">
        <v>63</v>
      </c>
      <c r="L8" s="85" t="s">
        <v>63</v>
      </c>
      <c r="M8" s="85" t="s">
        <v>253</v>
      </c>
      <c r="N8" s="84">
        <f t="shared" ref="N8:O9" si="4">H8</f>
        <v>343910.33593387424</v>
      </c>
      <c r="O8" s="87">
        <f t="shared" si="4"/>
        <v>199811905.17758095</v>
      </c>
      <c r="P8" s="143" t="s">
        <v>254</v>
      </c>
      <c r="Q8" s="147">
        <v>6.25E-2</v>
      </c>
      <c r="R8" s="143" t="s">
        <v>237</v>
      </c>
      <c r="S8" s="96" t="s">
        <v>143</v>
      </c>
      <c r="T8" s="107" t="s">
        <v>66</v>
      </c>
      <c r="U8" s="107"/>
      <c r="V8" s="84" t="str">
        <f t="shared" si="3"/>
        <v>3110230CCLRSCHERER-ASH581AC343910.335933874Ash Disposal Pond</v>
      </c>
      <c r="X8" s="84"/>
    </row>
    <row r="9" spans="1:24" s="172" customFormat="1" x14ac:dyDescent="0.25">
      <c r="A9" s="85" t="s">
        <v>62</v>
      </c>
      <c r="B9" s="86" t="s">
        <v>154</v>
      </c>
      <c r="C9" s="86" t="s">
        <v>71</v>
      </c>
      <c r="D9" s="85" t="s">
        <v>72</v>
      </c>
      <c r="E9" s="102" t="s">
        <v>255</v>
      </c>
      <c r="F9" s="87">
        <v>0</v>
      </c>
      <c r="G9" s="85" t="s">
        <v>63</v>
      </c>
      <c r="H9" s="171"/>
      <c r="I9" s="87">
        <v>0</v>
      </c>
      <c r="J9" s="85" t="s">
        <v>64</v>
      </c>
      <c r="K9" s="85" t="s">
        <v>63</v>
      </c>
      <c r="L9" s="85" t="s">
        <v>63</v>
      </c>
      <c r="M9" s="85" t="str">
        <f t="shared" si="0"/>
        <v>CONTINGENCY</v>
      </c>
      <c r="N9" s="84">
        <f t="shared" si="4"/>
        <v>0</v>
      </c>
      <c r="O9" s="87">
        <f t="shared" si="4"/>
        <v>0</v>
      </c>
      <c r="P9" s="143" t="s">
        <v>254</v>
      </c>
      <c r="Q9" s="147">
        <v>6.25E-2</v>
      </c>
      <c r="R9" s="143" t="s">
        <v>237</v>
      </c>
      <c r="S9" s="96" t="s">
        <v>143</v>
      </c>
      <c r="T9" s="107" t="s">
        <v>66</v>
      </c>
      <c r="U9" s="107"/>
      <c r="V9" s="84" t="str">
        <f t="shared" si="3"/>
        <v>3040000CCLRSCHERER-ASH0CONTINGENCY</v>
      </c>
      <c r="X9" s="84"/>
    </row>
    <row r="10" spans="1:24" ht="15" customHeight="1" x14ac:dyDescent="0.25">
      <c r="A10" s="85" t="s">
        <v>115</v>
      </c>
      <c r="B10" s="86" t="s">
        <v>158</v>
      </c>
      <c r="C10" s="101" t="s">
        <v>149</v>
      </c>
      <c r="D10" s="85" t="s">
        <v>133</v>
      </c>
      <c r="E10" s="102" t="s">
        <v>194</v>
      </c>
      <c r="F10" s="92">
        <f>'Scherer Data'!$D$48/4*Q10</f>
        <v>543.75</v>
      </c>
      <c r="G10" s="85" t="s">
        <v>33</v>
      </c>
      <c r="H10" s="91">
        <f>'Scherer Data'!$E$48</f>
        <v>-108.3695731319762</v>
      </c>
      <c r="I10" s="116">
        <f>'Scherer Data'!$F$48/4*Q10</f>
        <v>-58925.955390512056</v>
      </c>
      <c r="J10" s="85" t="s">
        <v>198</v>
      </c>
      <c r="K10" s="85" t="s">
        <v>110</v>
      </c>
      <c r="L10" s="85" t="s">
        <v>63</v>
      </c>
      <c r="M10" s="85" t="str">
        <f t="shared" si="0"/>
        <v>Baghouses - FE Sales</v>
      </c>
      <c r="N10" s="84">
        <f t="shared" si="1"/>
        <v>-108.3695731319762</v>
      </c>
      <c r="O10" s="87">
        <f t="shared" si="2"/>
        <v>-58925.955390512056</v>
      </c>
      <c r="P10" s="88" t="s">
        <v>65</v>
      </c>
      <c r="Q10" s="147">
        <v>0.25</v>
      </c>
      <c r="R10" s="143" t="s">
        <v>237</v>
      </c>
      <c r="S10" s="96" t="s">
        <v>145</v>
      </c>
      <c r="T10" s="84" t="s">
        <v>82</v>
      </c>
      <c r="U10" s="84" t="s">
        <v>99</v>
      </c>
      <c r="V10" s="84" t="str">
        <f t="shared" si="3"/>
        <v>312UND33MSSCHERER-ECO543.75nt-108.369573131976Baghouses - FE Sales</v>
      </c>
      <c r="W10" s="172"/>
    </row>
    <row r="11" spans="1:24" ht="15" customHeight="1" x14ac:dyDescent="0.25">
      <c r="A11" s="85" t="s">
        <v>62</v>
      </c>
      <c r="B11" s="86" t="s">
        <v>154</v>
      </c>
      <c r="C11" s="101" t="s">
        <v>149</v>
      </c>
      <c r="D11" s="85" t="s">
        <v>69</v>
      </c>
      <c r="E11" s="102" t="s">
        <v>194</v>
      </c>
      <c r="F11" s="87">
        <v>0</v>
      </c>
      <c r="G11" s="85" t="s">
        <v>63</v>
      </c>
      <c r="H11" s="93"/>
      <c r="I11" s="87">
        <v>0</v>
      </c>
      <c r="J11" s="85" t="s">
        <v>64</v>
      </c>
      <c r="K11" s="85" t="s">
        <v>63</v>
      </c>
      <c r="L11" s="85" t="s">
        <v>63</v>
      </c>
      <c r="M11" s="85" t="str">
        <f t="shared" si="0"/>
        <v>CONTINGENCY</v>
      </c>
      <c r="N11" s="84">
        <f t="shared" si="1"/>
        <v>0</v>
      </c>
      <c r="O11" s="87">
        <f t="shared" si="2"/>
        <v>0</v>
      </c>
      <c r="P11" s="88" t="s">
        <v>65</v>
      </c>
      <c r="Q11" s="147">
        <v>0.25</v>
      </c>
      <c r="R11" s="143" t="s">
        <v>237</v>
      </c>
      <c r="S11" s="96" t="s">
        <v>143</v>
      </c>
      <c r="T11" s="84" t="s">
        <v>66</v>
      </c>
      <c r="U11" s="84"/>
      <c r="V11" s="84" t="str">
        <f t="shared" si="3"/>
        <v>304000033LRSCHERER-ECO0CONTINGENCY</v>
      </c>
    </row>
    <row r="12" spans="1:24" ht="15" customHeight="1" x14ac:dyDescent="0.25">
      <c r="A12" s="85" t="s">
        <v>62</v>
      </c>
      <c r="B12" s="86" t="s">
        <v>154</v>
      </c>
      <c r="C12" s="86" t="s">
        <v>71</v>
      </c>
      <c r="D12" s="85" t="s">
        <v>72</v>
      </c>
      <c r="E12" s="102" t="s">
        <v>194</v>
      </c>
      <c r="F12" s="87">
        <v>0</v>
      </c>
      <c r="G12" s="85" t="s">
        <v>63</v>
      </c>
      <c r="H12" s="93"/>
      <c r="I12" s="87">
        <v>0</v>
      </c>
      <c r="J12" s="85" t="s">
        <v>64</v>
      </c>
      <c r="K12" s="85" t="s">
        <v>63</v>
      </c>
      <c r="L12" s="85" t="s">
        <v>63</v>
      </c>
      <c r="M12" s="85" t="str">
        <f t="shared" si="0"/>
        <v>CONTINGENCY</v>
      </c>
      <c r="N12" s="84">
        <f t="shared" si="1"/>
        <v>0</v>
      </c>
      <c r="O12" s="87">
        <f t="shared" si="2"/>
        <v>0</v>
      </c>
      <c r="P12" s="88" t="s">
        <v>65</v>
      </c>
      <c r="Q12" s="147">
        <v>6.25E-2</v>
      </c>
      <c r="R12" s="143" t="s">
        <v>237</v>
      </c>
      <c r="S12" s="96" t="s">
        <v>143</v>
      </c>
      <c r="T12" s="84" t="s">
        <v>66</v>
      </c>
      <c r="U12" s="84"/>
      <c r="V12" s="84" t="str">
        <f t="shared" si="3"/>
        <v>3040000CCLRSCHERER-ECO0CONTINGENCY</v>
      </c>
    </row>
    <row r="13" spans="1:24" ht="15" customHeight="1" x14ac:dyDescent="0.25">
      <c r="A13" s="85" t="s">
        <v>62</v>
      </c>
      <c r="B13" s="86" t="s">
        <v>154</v>
      </c>
      <c r="C13" s="101" t="s">
        <v>149</v>
      </c>
      <c r="D13" s="85" t="s">
        <v>69</v>
      </c>
      <c r="E13" s="85" t="s">
        <v>193</v>
      </c>
      <c r="F13" s="87">
        <v>0</v>
      </c>
      <c r="G13" s="85" t="s">
        <v>63</v>
      </c>
      <c r="H13" s="93"/>
      <c r="I13" s="87">
        <v>0</v>
      </c>
      <c r="J13" s="85" t="s">
        <v>64</v>
      </c>
      <c r="K13" s="85" t="s">
        <v>63</v>
      </c>
      <c r="L13" s="85" t="s">
        <v>63</v>
      </c>
      <c r="M13" s="85" t="str">
        <f t="shared" si="0"/>
        <v>CONTINGENCY</v>
      </c>
      <c r="N13" s="84">
        <f t="shared" si="1"/>
        <v>0</v>
      </c>
      <c r="O13" s="87">
        <f t="shared" si="2"/>
        <v>0</v>
      </c>
      <c r="P13" s="88" t="s">
        <v>73</v>
      </c>
      <c r="Q13" s="147">
        <v>0.25</v>
      </c>
      <c r="R13" s="143" t="s">
        <v>237</v>
      </c>
      <c r="S13" s="96" t="s">
        <v>143</v>
      </c>
      <c r="T13" s="84" t="s">
        <v>66</v>
      </c>
      <c r="U13" s="84"/>
      <c r="V13" s="84" t="str">
        <f t="shared" si="3"/>
        <v>304000033LRSCHERER-NON0CONTINGENCY</v>
      </c>
    </row>
    <row r="14" spans="1:24" ht="15" customHeight="1" x14ac:dyDescent="0.25">
      <c r="A14" s="85" t="s">
        <v>62</v>
      </c>
      <c r="B14" s="86" t="s">
        <v>154</v>
      </c>
      <c r="C14" s="86" t="s">
        <v>71</v>
      </c>
      <c r="D14" s="85" t="s">
        <v>72</v>
      </c>
      <c r="E14" s="85" t="s">
        <v>193</v>
      </c>
      <c r="F14" s="87">
        <v>0</v>
      </c>
      <c r="G14" s="85" t="s">
        <v>63</v>
      </c>
      <c r="H14" s="171"/>
      <c r="I14" s="87">
        <v>0</v>
      </c>
      <c r="J14" s="85" t="s">
        <v>64</v>
      </c>
      <c r="K14" s="85" t="s">
        <v>63</v>
      </c>
      <c r="L14" s="85" t="s">
        <v>63</v>
      </c>
      <c r="M14" s="85" t="str">
        <f t="shared" si="0"/>
        <v>CONTINGENCY</v>
      </c>
      <c r="N14" s="84">
        <f t="shared" si="1"/>
        <v>0</v>
      </c>
      <c r="O14" s="87">
        <f t="shared" si="2"/>
        <v>0</v>
      </c>
      <c r="P14" s="88" t="s">
        <v>73</v>
      </c>
      <c r="Q14" s="147">
        <v>6.25E-2</v>
      </c>
      <c r="R14" s="143" t="s">
        <v>237</v>
      </c>
      <c r="S14" s="96" t="s">
        <v>143</v>
      </c>
      <c r="T14" s="84" t="s">
        <v>66</v>
      </c>
      <c r="U14" s="84"/>
      <c r="V14" s="84" t="str">
        <f t="shared" si="3"/>
        <v>3040000CCLRSCHERER-NON0CONTINGENCY</v>
      </c>
    </row>
    <row r="15" spans="1:24" ht="15" customHeight="1" x14ac:dyDescent="0.25">
      <c r="A15" s="85" t="s">
        <v>79</v>
      </c>
      <c r="B15" s="86" t="s">
        <v>155</v>
      </c>
      <c r="C15" s="86" t="s">
        <v>71</v>
      </c>
      <c r="D15" s="85" t="s">
        <v>72</v>
      </c>
      <c r="E15" s="85" t="s">
        <v>193</v>
      </c>
      <c r="F15" s="149">
        <f>1*Q15</f>
        <v>6.25E-2</v>
      </c>
      <c r="G15" s="85" t="s">
        <v>80</v>
      </c>
      <c r="H15" s="90">
        <f>'Scherer Data'!$E$10</f>
        <v>450000</v>
      </c>
      <c r="I15" s="116">
        <f>'Scherer Data'!$F$10*Q15</f>
        <v>28125</v>
      </c>
      <c r="J15" s="85" t="s">
        <v>81</v>
      </c>
      <c r="K15" s="85" t="s">
        <v>63</v>
      </c>
      <c r="L15" s="85" t="s">
        <v>63</v>
      </c>
      <c r="M15" s="85" t="str">
        <f t="shared" si="0"/>
        <v>CONTRACTOR MOBILIZATION</v>
      </c>
      <c r="N15" s="84">
        <f t="shared" si="1"/>
        <v>450000</v>
      </c>
      <c r="O15" s="87">
        <f t="shared" si="2"/>
        <v>28125</v>
      </c>
      <c r="P15" s="88" t="s">
        <v>73</v>
      </c>
      <c r="Q15" s="147">
        <v>6.25E-2</v>
      </c>
      <c r="R15" s="143" t="s">
        <v>237</v>
      </c>
      <c r="S15" s="96" t="s">
        <v>143</v>
      </c>
      <c r="T15" s="84" t="s">
        <v>82</v>
      </c>
      <c r="U15" s="84"/>
      <c r="V15" s="84" t="str">
        <f t="shared" si="3"/>
        <v>3070201MOCCLRSCHERER-NON0.0625LT450000CONTRACTOR MOBILIZATION</v>
      </c>
    </row>
    <row r="16" spans="1:24" ht="15" customHeight="1" x14ac:dyDescent="0.25">
      <c r="A16" s="85" t="s">
        <v>86</v>
      </c>
      <c r="B16" s="86" t="s">
        <v>153</v>
      </c>
      <c r="C16" s="86" t="s">
        <v>71</v>
      </c>
      <c r="D16" s="85" t="s">
        <v>72</v>
      </c>
      <c r="E16" s="85" t="s">
        <v>193</v>
      </c>
      <c r="F16" s="149">
        <f>1*Q16</f>
        <v>6.25E-2</v>
      </c>
      <c r="G16" s="85" t="s">
        <v>21</v>
      </c>
      <c r="H16" s="90">
        <f>'Scherer Data'!$E$5</f>
        <v>50000</v>
      </c>
      <c r="I16" s="116">
        <f>'Scherer Data'!$F$5*Q16</f>
        <v>3125</v>
      </c>
      <c r="J16" s="85" t="s">
        <v>20</v>
      </c>
      <c r="K16" s="85" t="s">
        <v>63</v>
      </c>
      <c r="L16" s="85" t="s">
        <v>63</v>
      </c>
      <c r="M16" s="85" t="str">
        <f t="shared" si="0"/>
        <v>Design bulkhead for intake and discharge tunnel</v>
      </c>
      <c r="N16" s="84">
        <f t="shared" si="1"/>
        <v>50000</v>
      </c>
      <c r="O16" s="87">
        <f t="shared" si="2"/>
        <v>3125</v>
      </c>
      <c r="P16" s="88" t="s">
        <v>73</v>
      </c>
      <c r="Q16" s="147">
        <v>6.25E-2</v>
      </c>
      <c r="R16" s="143" t="s">
        <v>237</v>
      </c>
      <c r="S16" s="96" t="s">
        <v>143</v>
      </c>
      <c r="T16" s="84" t="s">
        <v>82</v>
      </c>
      <c r="U16" s="84"/>
      <c r="V16" s="84" t="str">
        <f t="shared" si="3"/>
        <v>3080241CCLRSCHERER-NON0.0625ls50000Design bulkhead for intake and discharge tunnel</v>
      </c>
    </row>
    <row r="17" spans="1:22" ht="15" customHeight="1" x14ac:dyDescent="0.25">
      <c r="A17" s="85" t="s">
        <v>115</v>
      </c>
      <c r="B17" s="86" t="s">
        <v>158</v>
      </c>
      <c r="C17" s="101" t="s">
        <v>149</v>
      </c>
      <c r="D17" s="85" t="s">
        <v>135</v>
      </c>
      <c r="E17" s="85" t="s">
        <v>193</v>
      </c>
      <c r="F17" s="92">
        <f>'Scherer Data'!$D$60/4*Q17</f>
        <v>581.5</v>
      </c>
      <c r="G17" s="85" t="s">
        <v>33</v>
      </c>
      <c r="H17" s="91">
        <f>'Scherer Data'!$E$60</f>
        <v>65</v>
      </c>
      <c r="I17" s="135">
        <f>'Scherer Data'!$F$60/4*Q17</f>
        <v>37797.5</v>
      </c>
      <c r="J17" s="85" t="s">
        <v>50</v>
      </c>
      <c r="K17" s="85" t="s">
        <v>63</v>
      </c>
      <c r="L17" s="85" t="s">
        <v>63</v>
      </c>
      <c r="M17" s="85" t="str">
        <f t="shared" si="0"/>
        <v>Dispose of Refractory in Subtitle D Landfill</v>
      </c>
      <c r="N17" s="84">
        <f t="shared" si="1"/>
        <v>65</v>
      </c>
      <c r="O17" s="87">
        <f t="shared" si="2"/>
        <v>37797.5</v>
      </c>
      <c r="P17" s="88" t="s">
        <v>73</v>
      </c>
      <c r="Q17" s="147">
        <v>0.25</v>
      </c>
      <c r="R17" s="143" t="s">
        <v>237</v>
      </c>
      <c r="S17" s="96" t="s">
        <v>146</v>
      </c>
      <c r="T17" s="84" t="s">
        <v>82</v>
      </c>
      <c r="U17" s="84" t="s">
        <v>99</v>
      </c>
      <c r="V17" s="84" t="str">
        <f t="shared" si="3"/>
        <v>312UND33LDSCHERER-NON581.5nt65Dispose of Refractory in Subtitle D Landfill</v>
      </c>
    </row>
    <row r="18" spans="1:22" ht="15" customHeight="1" x14ac:dyDescent="0.25">
      <c r="A18" s="106">
        <v>3080261</v>
      </c>
      <c r="B18" s="86" t="s">
        <v>153</v>
      </c>
      <c r="C18" s="86" t="s">
        <v>71</v>
      </c>
      <c r="D18" s="85" t="s">
        <v>72</v>
      </c>
      <c r="E18" s="85" t="s">
        <v>193</v>
      </c>
      <c r="F18" s="92">
        <f>2000*Q18</f>
        <v>125</v>
      </c>
      <c r="G18" s="85" t="s">
        <v>87</v>
      </c>
      <c r="H18" s="87">
        <v>101.26</v>
      </c>
      <c r="I18" s="89">
        <f>F18*H18</f>
        <v>12657.5</v>
      </c>
      <c r="J18" s="148" t="s">
        <v>90</v>
      </c>
      <c r="K18" s="85" t="s">
        <v>63</v>
      </c>
      <c r="L18" s="85" t="s">
        <v>63</v>
      </c>
      <c r="M18" s="85" t="str">
        <f t="shared" si="0"/>
        <v>GPC ENGINEERING</v>
      </c>
      <c r="N18" s="84">
        <f t="shared" si="1"/>
        <v>101.26</v>
      </c>
      <c r="O18" s="87">
        <f t="shared" si="2"/>
        <v>12657.5</v>
      </c>
      <c r="P18" s="88" t="s">
        <v>73</v>
      </c>
      <c r="Q18" s="147">
        <v>6.25E-2</v>
      </c>
      <c r="R18" s="143" t="s">
        <v>237</v>
      </c>
      <c r="S18" s="96" t="s">
        <v>143</v>
      </c>
      <c r="T18" s="84" t="s">
        <v>66</v>
      </c>
      <c r="U18" s="84"/>
      <c r="V18" s="84" t="str">
        <f t="shared" si="3"/>
        <v>3080261CCLRSCHERER-NON125MH101.26GPC ENGINEERING</v>
      </c>
    </row>
    <row r="19" spans="1:22" ht="15" customHeight="1" x14ac:dyDescent="0.25">
      <c r="A19" s="85" t="s">
        <v>98</v>
      </c>
      <c r="B19" s="86" t="s">
        <v>152</v>
      </c>
      <c r="C19" s="86" t="s">
        <v>71</v>
      </c>
      <c r="D19" s="85" t="s">
        <v>72</v>
      </c>
      <c r="E19" s="85" t="s">
        <v>193</v>
      </c>
      <c r="F19" s="92">
        <f>'Scherer Data'!$D$15*Q19</f>
        <v>31250</v>
      </c>
      <c r="G19" s="85" t="s">
        <v>27</v>
      </c>
      <c r="H19" s="89">
        <v>0.25</v>
      </c>
      <c r="I19" s="116">
        <f>'Scherer Data'!$F$15*Q19</f>
        <v>10937.5</v>
      </c>
      <c r="J19" s="85" t="s">
        <v>31</v>
      </c>
      <c r="K19" s="85" t="s">
        <v>63</v>
      </c>
      <c r="L19" s="85" t="s">
        <v>63</v>
      </c>
      <c r="M19" s="85" t="str">
        <f t="shared" si="0"/>
        <v>Grade and Seeding</v>
      </c>
      <c r="N19" s="84">
        <f t="shared" si="1"/>
        <v>0.25</v>
      </c>
      <c r="O19" s="87">
        <f t="shared" si="2"/>
        <v>10937.5</v>
      </c>
      <c r="P19" s="88" t="s">
        <v>73</v>
      </c>
      <c r="Q19" s="147">
        <v>6.25E-2</v>
      </c>
      <c r="R19" s="143" t="s">
        <v>237</v>
      </c>
      <c r="S19" s="96" t="s">
        <v>143</v>
      </c>
      <c r="T19" s="84" t="s">
        <v>82</v>
      </c>
      <c r="U19" s="84" t="s">
        <v>99</v>
      </c>
      <c r="V19" s="84" t="str">
        <f t="shared" si="3"/>
        <v>3110001LCCCLRSCHERER-NON31250sf0.25Grade and Seeding</v>
      </c>
    </row>
    <row r="20" spans="1:22" ht="15" customHeight="1" x14ac:dyDescent="0.25">
      <c r="A20" s="85" t="s">
        <v>124</v>
      </c>
      <c r="B20" s="86" t="s">
        <v>159</v>
      </c>
      <c r="C20" s="86" t="s">
        <v>71</v>
      </c>
      <c r="D20" s="85" t="s">
        <v>72</v>
      </c>
      <c r="E20" s="85" t="s">
        <v>193</v>
      </c>
      <c r="F20" s="151">
        <f>1*Q20</f>
        <v>6.25E-2</v>
      </c>
      <c r="G20" s="85" t="s">
        <v>21</v>
      </c>
      <c r="H20" s="90">
        <f>'Scherer Data'!$E$13</f>
        <v>650000</v>
      </c>
      <c r="I20" s="116">
        <f>'Scherer Data'!$F$13*Q20</f>
        <v>40625</v>
      </c>
      <c r="J20" s="85" t="s">
        <v>29</v>
      </c>
      <c r="K20" s="85" t="s">
        <v>63</v>
      </c>
      <c r="L20" s="85" t="s">
        <v>63</v>
      </c>
      <c r="M20" s="85" t="str">
        <f t="shared" si="0"/>
        <v>Install Bulkhead in Intake &amp; Discharge Tunnel</v>
      </c>
      <c r="N20" s="84">
        <f t="shared" si="1"/>
        <v>650000</v>
      </c>
      <c r="O20" s="87">
        <f t="shared" si="2"/>
        <v>40625</v>
      </c>
      <c r="P20" s="88" t="s">
        <v>73</v>
      </c>
      <c r="Q20" s="147">
        <v>6.25E-2</v>
      </c>
      <c r="R20" s="143" t="s">
        <v>237</v>
      </c>
      <c r="S20" s="96" t="s">
        <v>143</v>
      </c>
      <c r="T20" s="84" t="s">
        <v>82</v>
      </c>
      <c r="U20" s="84" t="s">
        <v>99</v>
      </c>
      <c r="V20" s="84" t="str">
        <f t="shared" si="3"/>
        <v>314052102CCLRSCHERER-NON0.0625ls650000Install Bulkhead in Intake &amp; Discharge Tunnel</v>
      </c>
    </row>
    <row r="21" spans="1:22" ht="15" customHeight="1" x14ac:dyDescent="0.25">
      <c r="A21" s="85" t="s">
        <v>85</v>
      </c>
      <c r="B21" s="86" t="s">
        <v>155</v>
      </c>
      <c r="C21" s="86" t="s">
        <v>71</v>
      </c>
      <c r="D21" s="85" t="s">
        <v>72</v>
      </c>
      <c r="E21" s="85" t="s">
        <v>193</v>
      </c>
      <c r="F21" s="151">
        <f>1*Q21</f>
        <v>6.25E-2</v>
      </c>
      <c r="G21" s="85" t="s">
        <v>21</v>
      </c>
      <c r="H21" s="90">
        <f>'Scherer Data'!$E$14</f>
        <v>200000</v>
      </c>
      <c r="I21" s="116">
        <f>'Scherer Data'!$F$14*Q21</f>
        <v>12500</v>
      </c>
      <c r="J21" s="85" t="s">
        <v>163</v>
      </c>
      <c r="K21" s="85" t="s">
        <v>63</v>
      </c>
      <c r="L21" s="85" t="s">
        <v>63</v>
      </c>
      <c r="M21" s="85" t="str">
        <f t="shared" si="0"/>
        <v>Install Electrical for Decommissioning Work</v>
      </c>
      <c r="N21" s="84">
        <f t="shared" si="1"/>
        <v>200000</v>
      </c>
      <c r="O21" s="87">
        <f t="shared" si="2"/>
        <v>12500</v>
      </c>
      <c r="P21" s="88" t="s">
        <v>73</v>
      </c>
      <c r="Q21" s="147">
        <v>6.25E-2</v>
      </c>
      <c r="R21" s="143" t="s">
        <v>237</v>
      </c>
      <c r="S21" s="96" t="s">
        <v>143</v>
      </c>
      <c r="T21" s="84" t="s">
        <v>82</v>
      </c>
      <c r="U21" s="84"/>
      <c r="V21" s="84" t="str">
        <f t="shared" si="3"/>
        <v>307UNDCCLRSCHERER-NON0.0625ls200000Install Electrical for Decommissioning Work</v>
      </c>
    </row>
    <row r="22" spans="1:22" ht="15" customHeight="1" x14ac:dyDescent="0.25">
      <c r="A22" s="85" t="s">
        <v>115</v>
      </c>
      <c r="B22" s="86" t="s">
        <v>158</v>
      </c>
      <c r="C22" s="101" t="s">
        <v>149</v>
      </c>
      <c r="D22" s="85" t="s">
        <v>69</v>
      </c>
      <c r="E22" s="85" t="s">
        <v>193</v>
      </c>
      <c r="F22" s="99">
        <f>'Scherer Data'!$D$26/4*Q22</f>
        <v>0.125</v>
      </c>
      <c r="G22" s="85" t="s">
        <v>42</v>
      </c>
      <c r="H22" s="90">
        <f>'Scherer Data'!$E$26</f>
        <v>550000</v>
      </c>
      <c r="I22" s="116">
        <f>'Scherer Data'!$F$26/4*Q22</f>
        <v>68750</v>
      </c>
      <c r="J22" s="120" t="s">
        <v>176</v>
      </c>
      <c r="K22" s="85" t="s">
        <v>63</v>
      </c>
      <c r="L22" s="85" t="s">
        <v>63</v>
      </c>
      <c r="M22" s="85" t="str">
        <f t="shared" si="0"/>
        <v>Main Power Block - (1) each 1000' Stack (felling)</v>
      </c>
      <c r="N22" s="84">
        <f t="shared" si="1"/>
        <v>550000</v>
      </c>
      <c r="O22" s="87">
        <f t="shared" si="2"/>
        <v>68750</v>
      </c>
      <c r="P22" s="88" t="s">
        <v>73</v>
      </c>
      <c r="Q22" s="147">
        <v>0.25</v>
      </c>
      <c r="R22" s="143" t="s">
        <v>237</v>
      </c>
      <c r="S22" s="96" t="s">
        <v>143</v>
      </c>
      <c r="T22" s="84" t="s">
        <v>82</v>
      </c>
      <c r="U22" s="84" t="s">
        <v>99</v>
      </c>
      <c r="V22" s="84" t="str">
        <f t="shared" si="3"/>
        <v>312UND33LRSCHERER-NON0.125ea550000Main Power Block - (1) each 1000' Stack (felling)</v>
      </c>
    </row>
    <row r="23" spans="1:22" ht="15" customHeight="1" x14ac:dyDescent="0.25">
      <c r="A23" s="85" t="s">
        <v>115</v>
      </c>
      <c r="B23" s="86" t="s">
        <v>158</v>
      </c>
      <c r="C23" s="101" t="s">
        <v>149</v>
      </c>
      <c r="D23" s="85" t="s">
        <v>133</v>
      </c>
      <c r="E23" s="85" t="s">
        <v>193</v>
      </c>
      <c r="F23" s="92">
        <f>'Scherer Data'!$D$20/4*Q23</f>
        <v>52335</v>
      </c>
      <c r="G23" s="85" t="s">
        <v>36</v>
      </c>
      <c r="H23" s="91">
        <f>'Scherer Data'!$E$20</f>
        <v>-0.38793301271641789</v>
      </c>
      <c r="I23" s="135">
        <f>'Scherer Data'!$F$20/4*Q23</f>
        <v>-20302.47422051373</v>
      </c>
      <c r="J23" s="85" t="s">
        <v>116</v>
      </c>
      <c r="K23" s="85" t="s">
        <v>117</v>
      </c>
      <c r="L23" s="85" t="s">
        <v>63</v>
      </c>
      <c r="M23" s="85" t="str">
        <f t="shared" si="0"/>
        <v>Main Power Block - AL Sales</v>
      </c>
      <c r="N23" s="84">
        <f t="shared" si="1"/>
        <v>-0.38793301271641789</v>
      </c>
      <c r="O23" s="87">
        <f t="shared" si="2"/>
        <v>-20302.47422051373</v>
      </c>
      <c r="P23" s="88" t="s">
        <v>73</v>
      </c>
      <c r="Q23" s="147">
        <v>0.25</v>
      </c>
      <c r="R23" s="143" t="s">
        <v>237</v>
      </c>
      <c r="S23" s="96" t="s">
        <v>145</v>
      </c>
      <c r="T23" s="84" t="s">
        <v>82</v>
      </c>
      <c r="U23" s="84" t="s">
        <v>99</v>
      </c>
      <c r="V23" s="84" t="str">
        <f t="shared" si="3"/>
        <v>312UND33MSSCHERER-NON52335lbs-0.387933012716418Main Power Block - AL Sales</v>
      </c>
    </row>
    <row r="24" spans="1:22" ht="15" customHeight="1" x14ac:dyDescent="0.25">
      <c r="A24" s="85" t="s">
        <v>125</v>
      </c>
      <c r="B24" s="86" t="s">
        <v>159</v>
      </c>
      <c r="C24" s="101" t="s">
        <v>149</v>
      </c>
      <c r="D24" s="85" t="s">
        <v>133</v>
      </c>
      <c r="E24" s="85" t="s">
        <v>193</v>
      </c>
      <c r="F24" s="92">
        <f>'Scherer Data'!$D$24/4*Q24</f>
        <v>205875</v>
      </c>
      <c r="G24" s="85" t="s">
        <v>36</v>
      </c>
      <c r="H24" s="91">
        <f>'Scherer Data'!$E$24</f>
        <v>-1.5206066633165829</v>
      </c>
      <c r="I24" s="116">
        <f>'Scherer Data'!$F$24/4*Q24</f>
        <v>-313054.89681030152</v>
      </c>
      <c r="J24" s="120" t="s">
        <v>175</v>
      </c>
      <c r="K24" s="85" t="s">
        <v>236</v>
      </c>
      <c r="L24" s="85" t="s">
        <v>63</v>
      </c>
      <c r="M24" s="85" t="str">
        <f t="shared" si="0"/>
        <v>Main Power Block - Condenser Tubes (90-10 CU-NI)</v>
      </c>
      <c r="N24" s="84">
        <f t="shared" si="1"/>
        <v>-1.5206066633165829</v>
      </c>
      <c r="O24" s="87">
        <f t="shared" si="2"/>
        <v>-313054.89681030152</v>
      </c>
      <c r="P24" s="88" t="s">
        <v>73</v>
      </c>
      <c r="Q24" s="147">
        <v>0.25</v>
      </c>
      <c r="R24" s="143" t="s">
        <v>237</v>
      </c>
      <c r="S24" s="96" t="s">
        <v>145</v>
      </c>
      <c r="T24" s="84" t="s">
        <v>82</v>
      </c>
      <c r="U24" s="84" t="s">
        <v>99</v>
      </c>
      <c r="V24" s="84" t="str">
        <f t="shared" si="3"/>
        <v>314UND33MSSCHERER-NON205875lbs-1.52060666331658Main Power Block - Condenser Tubes (90-10 CU-NI)</v>
      </c>
    </row>
    <row r="25" spans="1:22" ht="15" customHeight="1" x14ac:dyDescent="0.25">
      <c r="A25" s="85" t="s">
        <v>115</v>
      </c>
      <c r="B25" s="86" t="s">
        <v>158</v>
      </c>
      <c r="C25" s="101" t="s">
        <v>149</v>
      </c>
      <c r="D25" s="85" t="s">
        <v>133</v>
      </c>
      <c r="E25" s="85" t="s">
        <v>193</v>
      </c>
      <c r="F25" s="92">
        <f>'Scherer Data'!$D$21/4*0.2*Q25</f>
        <v>98855</v>
      </c>
      <c r="G25" s="85" t="s">
        <v>36</v>
      </c>
      <c r="H25" s="91">
        <f>'Scherer Data'!$E$21</f>
        <v>-0.31414430979039298</v>
      </c>
      <c r="I25" s="135">
        <f>'Scherer Data'!$F$21/4*0.2*Q25</f>
        <v>-31054.7357443293</v>
      </c>
      <c r="J25" s="85" t="s">
        <v>118</v>
      </c>
      <c r="K25" s="85" t="s">
        <v>119</v>
      </c>
      <c r="L25" s="85" t="s">
        <v>63</v>
      </c>
      <c r="M25" s="85" t="str">
        <f t="shared" si="0"/>
        <v>Main Power Block - CU Sales</v>
      </c>
      <c r="N25" s="84">
        <f t="shared" si="1"/>
        <v>-0.31414430979039298</v>
      </c>
      <c r="O25" s="87">
        <f t="shared" si="2"/>
        <v>-31054.7357443293</v>
      </c>
      <c r="P25" s="88" t="s">
        <v>73</v>
      </c>
      <c r="Q25" s="147">
        <v>0.25</v>
      </c>
      <c r="R25" s="143" t="s">
        <v>237</v>
      </c>
      <c r="S25" s="96" t="s">
        <v>145</v>
      </c>
      <c r="T25" s="84" t="s">
        <v>82</v>
      </c>
      <c r="U25" s="84" t="s">
        <v>99</v>
      </c>
      <c r="V25" s="84" t="str">
        <f t="shared" si="3"/>
        <v>312UND33MSSCHERER-NON98855lbs-0.314144309790393Main Power Block - CU Sales</v>
      </c>
    </row>
    <row r="26" spans="1:22" ht="15" customHeight="1" x14ac:dyDescent="0.25">
      <c r="A26" s="85" t="s">
        <v>127</v>
      </c>
      <c r="B26" s="86" t="s">
        <v>160</v>
      </c>
      <c r="C26" s="101" t="s">
        <v>149</v>
      </c>
      <c r="D26" s="85" t="s">
        <v>133</v>
      </c>
      <c r="E26" s="85" t="s">
        <v>193</v>
      </c>
      <c r="F26" s="92">
        <f>'Scherer Data'!$D$21/4*0.8*Q26</f>
        <v>395420</v>
      </c>
      <c r="G26" s="85" t="s">
        <v>36</v>
      </c>
      <c r="H26" s="91">
        <f>'Scherer Data'!$E$21</f>
        <v>-0.31414430979039298</v>
      </c>
      <c r="I26" s="135">
        <f>'Scherer Data'!$F$21/4*0.8*Q26</f>
        <v>-124218.9429773172</v>
      </c>
      <c r="J26" s="85" t="s">
        <v>118</v>
      </c>
      <c r="K26" s="85" t="s">
        <v>119</v>
      </c>
      <c r="L26" s="85" t="s">
        <v>63</v>
      </c>
      <c r="M26" s="85" t="str">
        <f t="shared" si="0"/>
        <v>Main Power Block - CU Sales</v>
      </c>
      <c r="N26" s="84">
        <f t="shared" si="1"/>
        <v>-0.31414430979039298</v>
      </c>
      <c r="O26" s="87">
        <f t="shared" si="2"/>
        <v>-124218.9429773172</v>
      </c>
      <c r="P26" s="88" t="s">
        <v>73</v>
      </c>
      <c r="Q26" s="147">
        <v>0.25</v>
      </c>
      <c r="R26" s="143" t="s">
        <v>237</v>
      </c>
      <c r="S26" s="96" t="s">
        <v>145</v>
      </c>
      <c r="T26" s="84" t="s">
        <v>82</v>
      </c>
      <c r="U26" s="84" t="s">
        <v>99</v>
      </c>
      <c r="V26" s="84" t="str">
        <f t="shared" si="3"/>
        <v>315UND33MSSCHERER-NON395420lbs-0.314144309790393Main Power Block - CU Sales</v>
      </c>
    </row>
    <row r="27" spans="1:22" ht="15" customHeight="1" x14ac:dyDescent="0.25">
      <c r="A27" s="85" t="s">
        <v>106</v>
      </c>
      <c r="B27" s="86" t="s">
        <v>152</v>
      </c>
      <c r="C27" s="101" t="s">
        <v>149</v>
      </c>
      <c r="D27" s="85" t="s">
        <v>69</v>
      </c>
      <c r="E27" s="85" t="s">
        <v>193</v>
      </c>
      <c r="F27" s="92">
        <f>('Scherer Data'!$D$18/4)*0.6*Q27</f>
        <v>3381.5858625000001</v>
      </c>
      <c r="G27" s="85" t="s">
        <v>33</v>
      </c>
      <c r="H27" s="91">
        <f>('Scherer Data'!$E$18)</f>
        <v>255.1</v>
      </c>
      <c r="I27" s="135">
        <f>('Scherer Data'!$F$18/4)*0.6*Q27</f>
        <v>862642.55352375004</v>
      </c>
      <c r="J27" s="85" t="s">
        <v>111</v>
      </c>
      <c r="K27" s="85" t="s">
        <v>63</v>
      </c>
      <c r="L27" s="85" t="s">
        <v>63</v>
      </c>
      <c r="M27" s="85" t="str">
        <f t="shared" si="0"/>
        <v>Main Power Block - DEMO</v>
      </c>
      <c r="N27" s="84">
        <f t="shared" si="1"/>
        <v>255.1</v>
      </c>
      <c r="O27" s="87">
        <f t="shared" si="2"/>
        <v>862642.55352375004</v>
      </c>
      <c r="P27" s="88" t="s">
        <v>73</v>
      </c>
      <c r="Q27" s="147">
        <v>0.25</v>
      </c>
      <c r="R27" s="143" t="s">
        <v>237</v>
      </c>
      <c r="S27" s="96" t="s">
        <v>143</v>
      </c>
      <c r="T27" s="84" t="s">
        <v>82</v>
      </c>
      <c r="U27" s="84" t="s">
        <v>99</v>
      </c>
      <c r="V27" s="84" t="str">
        <f t="shared" si="3"/>
        <v>311UND33LRSCHERER-NON3381.5858625nt255.1Main Power Block - DEMO</v>
      </c>
    </row>
    <row r="28" spans="1:22" ht="15" customHeight="1" x14ac:dyDescent="0.25">
      <c r="A28" s="85" t="s">
        <v>115</v>
      </c>
      <c r="B28" s="86" t="s">
        <v>158</v>
      </c>
      <c r="C28" s="101" t="s">
        <v>149</v>
      </c>
      <c r="D28" s="85" t="s">
        <v>69</v>
      </c>
      <c r="E28" s="85" t="s">
        <v>193</v>
      </c>
      <c r="F28" s="92">
        <f>('Scherer Data'!$D$18/4)*0.2*Q28</f>
        <v>1127.1952875000002</v>
      </c>
      <c r="G28" s="85" t="s">
        <v>33</v>
      </c>
      <c r="H28" s="91">
        <f>('Scherer Data'!$E$18)</f>
        <v>255.1</v>
      </c>
      <c r="I28" s="135">
        <f>('Scherer Data'!$F$18/4)*0.2*Q28</f>
        <v>287547.51784125005</v>
      </c>
      <c r="J28" s="85" t="s">
        <v>111</v>
      </c>
      <c r="K28" s="85" t="s">
        <v>63</v>
      </c>
      <c r="L28" s="85" t="s">
        <v>63</v>
      </c>
      <c r="M28" s="85" t="str">
        <f t="shared" si="0"/>
        <v>Main Power Block - DEMO</v>
      </c>
      <c r="N28" s="84">
        <f t="shared" si="1"/>
        <v>255.1</v>
      </c>
      <c r="O28" s="87">
        <f t="shared" si="2"/>
        <v>287547.51784125005</v>
      </c>
      <c r="P28" s="88" t="s">
        <v>73</v>
      </c>
      <c r="Q28" s="147">
        <v>0.25</v>
      </c>
      <c r="R28" s="143" t="s">
        <v>237</v>
      </c>
      <c r="S28" s="96" t="s">
        <v>143</v>
      </c>
      <c r="T28" s="84" t="s">
        <v>82</v>
      </c>
      <c r="U28" s="84" t="s">
        <v>99</v>
      </c>
      <c r="V28" s="84" t="str">
        <f t="shared" si="3"/>
        <v>312UND33LRSCHERER-NON1127.1952875nt255.1Main Power Block - DEMO</v>
      </c>
    </row>
    <row r="29" spans="1:22" ht="15" customHeight="1" x14ac:dyDescent="0.25">
      <c r="A29" s="85" t="s">
        <v>125</v>
      </c>
      <c r="B29" s="86" t="s">
        <v>159</v>
      </c>
      <c r="C29" s="101" t="s">
        <v>149</v>
      </c>
      <c r="D29" s="85" t="s">
        <v>69</v>
      </c>
      <c r="E29" s="85" t="s">
        <v>193</v>
      </c>
      <c r="F29" s="92">
        <f>('Scherer Data'!$D$18/4)*0.15*Q29</f>
        <v>845.39646562500002</v>
      </c>
      <c r="G29" s="85" t="s">
        <v>33</v>
      </c>
      <c r="H29" s="91">
        <f>('Scherer Data'!$E$18)</f>
        <v>255.1</v>
      </c>
      <c r="I29" s="135">
        <f>('Scherer Data'!$F$18/4)*0.15*Q29</f>
        <v>215660.63838093751</v>
      </c>
      <c r="J29" s="85" t="s">
        <v>111</v>
      </c>
      <c r="K29" s="85" t="s">
        <v>63</v>
      </c>
      <c r="L29" s="85" t="s">
        <v>63</v>
      </c>
      <c r="M29" s="85" t="str">
        <f t="shared" si="0"/>
        <v>Main Power Block - DEMO</v>
      </c>
      <c r="N29" s="84">
        <f t="shared" si="1"/>
        <v>255.1</v>
      </c>
      <c r="O29" s="87">
        <f t="shared" si="2"/>
        <v>215660.63838093751</v>
      </c>
      <c r="P29" s="88" t="s">
        <v>73</v>
      </c>
      <c r="Q29" s="147">
        <v>0.25</v>
      </c>
      <c r="R29" s="143" t="s">
        <v>237</v>
      </c>
      <c r="S29" s="96" t="s">
        <v>143</v>
      </c>
      <c r="T29" s="84" t="s">
        <v>82</v>
      </c>
      <c r="U29" s="84" t="s">
        <v>99</v>
      </c>
      <c r="V29" s="84" t="str">
        <f t="shared" si="3"/>
        <v>314UND33LRSCHERER-NON845.396465625nt255.1Main Power Block - DEMO</v>
      </c>
    </row>
    <row r="30" spans="1:22" ht="15" customHeight="1" x14ac:dyDescent="0.25">
      <c r="A30" s="85" t="s">
        <v>127</v>
      </c>
      <c r="B30" s="86" t="s">
        <v>160</v>
      </c>
      <c r="C30" s="101" t="s">
        <v>149</v>
      </c>
      <c r="D30" s="85" t="s">
        <v>69</v>
      </c>
      <c r="E30" s="85" t="s">
        <v>193</v>
      </c>
      <c r="F30" s="92">
        <f>('Scherer Data'!$D$18/4)*0.05*Q30</f>
        <v>281.79882187500004</v>
      </c>
      <c r="G30" s="85" t="s">
        <v>33</v>
      </c>
      <c r="H30" s="91">
        <f>('Scherer Data'!$E$18)</f>
        <v>255.1</v>
      </c>
      <c r="I30" s="135">
        <f>('Scherer Data'!$F$18/4)*0.05*Q30</f>
        <v>71886.879460312513</v>
      </c>
      <c r="J30" s="85" t="s">
        <v>111</v>
      </c>
      <c r="K30" s="85" t="s">
        <v>63</v>
      </c>
      <c r="L30" s="85" t="s">
        <v>63</v>
      </c>
      <c r="M30" s="85" t="str">
        <f t="shared" si="0"/>
        <v>Main Power Block - DEMO</v>
      </c>
      <c r="N30" s="84">
        <f t="shared" si="1"/>
        <v>255.1</v>
      </c>
      <c r="O30" s="87">
        <f t="shared" si="2"/>
        <v>71886.879460312513</v>
      </c>
      <c r="P30" s="88" t="s">
        <v>73</v>
      </c>
      <c r="Q30" s="147">
        <v>0.25</v>
      </c>
      <c r="R30" s="143" t="s">
        <v>237</v>
      </c>
      <c r="S30" s="96" t="s">
        <v>143</v>
      </c>
      <c r="T30" s="84" t="s">
        <v>82</v>
      </c>
      <c r="U30" s="84" t="s">
        <v>99</v>
      </c>
      <c r="V30" s="84" t="str">
        <f t="shared" si="3"/>
        <v>315UND33LRSCHERER-NON281.798821875nt255.1Main Power Block - DEMO</v>
      </c>
    </row>
    <row r="31" spans="1:22" ht="15" customHeight="1" x14ac:dyDescent="0.25">
      <c r="A31" s="100" t="s">
        <v>125</v>
      </c>
      <c r="B31" s="86" t="s">
        <v>159</v>
      </c>
      <c r="C31" s="101" t="s">
        <v>149</v>
      </c>
      <c r="D31" s="102" t="s">
        <v>69</v>
      </c>
      <c r="E31" s="85" t="s">
        <v>193</v>
      </c>
      <c r="F31" s="102">
        <f>'Scherer Data'!$D$27/4*Q31</f>
        <v>0.25</v>
      </c>
      <c r="G31" s="102" t="s">
        <v>42</v>
      </c>
      <c r="H31" s="103">
        <f>'Scherer Data'!$E$27</f>
        <v>1650000</v>
      </c>
      <c r="I31" s="136">
        <f>'Scherer Data'!$F$27/4*Q31</f>
        <v>412500</v>
      </c>
      <c r="J31" s="102" t="s">
        <v>177</v>
      </c>
      <c r="K31" s="102"/>
      <c r="L31" s="102"/>
      <c r="M31" s="85" t="str">
        <f t="shared" si="0"/>
        <v>Main Power Block - Demo (2) Hyperbolic Cooling Towers</v>
      </c>
      <c r="N31" s="167">
        <f t="shared" si="1"/>
        <v>1650000</v>
      </c>
      <c r="O31" s="103">
        <f t="shared" si="2"/>
        <v>412500</v>
      </c>
      <c r="P31" s="167" t="s">
        <v>73</v>
      </c>
      <c r="Q31" s="147">
        <v>0.25</v>
      </c>
      <c r="R31" s="143" t="s">
        <v>237</v>
      </c>
      <c r="S31" s="144" t="s">
        <v>143</v>
      </c>
      <c r="T31" s="167" t="s">
        <v>82</v>
      </c>
      <c r="U31" s="167" t="s">
        <v>99</v>
      </c>
      <c r="V31" s="84" t="str">
        <f t="shared" si="3"/>
        <v>314UND33LRSCHERER-NON0.25ea1650000Main Power Block - Demo (2) Hyperbolic Cooling Towers</v>
      </c>
    </row>
    <row r="32" spans="1:22" ht="15" customHeight="1" x14ac:dyDescent="0.25">
      <c r="A32" s="85" t="s">
        <v>106</v>
      </c>
      <c r="B32" s="86" t="s">
        <v>152</v>
      </c>
      <c r="C32" s="101" t="s">
        <v>149</v>
      </c>
      <c r="D32" s="85" t="s">
        <v>133</v>
      </c>
      <c r="E32" s="85" t="s">
        <v>193</v>
      </c>
      <c r="F32" s="92">
        <f>('Scherer Data'!$D$19/4)*0.6*Q32</f>
        <v>3381.5858625000001</v>
      </c>
      <c r="G32" s="85" t="s">
        <v>33</v>
      </c>
      <c r="H32" s="91">
        <f>'Scherer Data'!$E$19</f>
        <v>-108.3695731319762</v>
      </c>
      <c r="I32" s="135">
        <f>('Scherer Data'!$F$19/4)*0.6*Q32</f>
        <v>-366461.01642825053</v>
      </c>
      <c r="J32" s="85" t="s">
        <v>113</v>
      </c>
      <c r="K32" s="85" t="s">
        <v>110</v>
      </c>
      <c r="L32" s="85" t="s">
        <v>63</v>
      </c>
      <c r="M32" s="85" t="str">
        <f t="shared" si="0"/>
        <v>Main Power Block - FE Sales</v>
      </c>
      <c r="N32" s="84">
        <f t="shared" si="1"/>
        <v>-108.3695731319762</v>
      </c>
      <c r="O32" s="87">
        <f t="shared" si="2"/>
        <v>-366461.01642825053</v>
      </c>
      <c r="P32" s="88" t="s">
        <v>73</v>
      </c>
      <c r="Q32" s="147">
        <v>0.25</v>
      </c>
      <c r="R32" s="143" t="s">
        <v>237</v>
      </c>
      <c r="S32" s="96" t="s">
        <v>145</v>
      </c>
      <c r="T32" s="84" t="s">
        <v>82</v>
      </c>
      <c r="U32" s="84" t="s">
        <v>99</v>
      </c>
      <c r="V32" s="84" t="str">
        <f t="shared" si="3"/>
        <v>311UND33MSSCHERER-NON3381.5858625nt-108.369573131976Main Power Block - FE Sales</v>
      </c>
    </row>
    <row r="33" spans="1:22" ht="15" customHeight="1" x14ac:dyDescent="0.25">
      <c r="A33" s="85" t="s">
        <v>115</v>
      </c>
      <c r="B33" s="86" t="s">
        <v>158</v>
      </c>
      <c r="C33" s="101" t="s">
        <v>149</v>
      </c>
      <c r="D33" s="85" t="s">
        <v>133</v>
      </c>
      <c r="E33" s="85" t="s">
        <v>193</v>
      </c>
      <c r="F33" s="92">
        <f>('Scherer Data'!$D$19/4)*0.25*Q33</f>
        <v>1408.9941093750001</v>
      </c>
      <c r="G33" s="85" t="s">
        <v>33</v>
      </c>
      <c r="H33" s="91">
        <f>'Scherer Data'!$E$19</f>
        <v>-108.3695731319762</v>
      </c>
      <c r="I33" s="135">
        <f>('Scherer Data'!$F$19/4)*0.25*Q33</f>
        <v>-152692.09017843773</v>
      </c>
      <c r="J33" s="85" t="s">
        <v>113</v>
      </c>
      <c r="K33" s="85" t="s">
        <v>110</v>
      </c>
      <c r="L33" s="85" t="s">
        <v>63</v>
      </c>
      <c r="M33" s="85" t="str">
        <f t="shared" si="0"/>
        <v>Main Power Block - FE Sales</v>
      </c>
      <c r="N33" s="84">
        <f t="shared" si="1"/>
        <v>-108.3695731319762</v>
      </c>
      <c r="O33" s="87">
        <f t="shared" si="2"/>
        <v>-152692.09017843773</v>
      </c>
      <c r="P33" s="88" t="s">
        <v>73</v>
      </c>
      <c r="Q33" s="147">
        <v>0.25</v>
      </c>
      <c r="R33" s="143" t="s">
        <v>237</v>
      </c>
      <c r="S33" s="96" t="s">
        <v>145</v>
      </c>
      <c r="T33" s="84" t="s">
        <v>82</v>
      </c>
      <c r="U33" s="84" t="s">
        <v>99</v>
      </c>
      <c r="V33" s="84" t="str">
        <f t="shared" si="3"/>
        <v>312UND33MSSCHERER-NON1408.994109375nt-108.369573131976Main Power Block - FE Sales</v>
      </c>
    </row>
    <row r="34" spans="1:22" ht="15" customHeight="1" x14ac:dyDescent="0.25">
      <c r="A34" s="85" t="s">
        <v>125</v>
      </c>
      <c r="B34" s="86" t="s">
        <v>159</v>
      </c>
      <c r="C34" s="101" t="s">
        <v>149</v>
      </c>
      <c r="D34" s="85" t="s">
        <v>133</v>
      </c>
      <c r="E34" s="85" t="s">
        <v>193</v>
      </c>
      <c r="F34" s="92">
        <f>('Scherer Data'!$D$19/4)*0.15*Q34</f>
        <v>845.39646562500002</v>
      </c>
      <c r="G34" s="85" t="s">
        <v>33</v>
      </c>
      <c r="H34" s="91">
        <f>'Scherer Data'!$E$19</f>
        <v>-108.3695731319762</v>
      </c>
      <c r="I34" s="135">
        <f>('Scherer Data'!$F$19/4)*0.15*Q34</f>
        <v>-91615.254107062632</v>
      </c>
      <c r="J34" s="85" t="s">
        <v>113</v>
      </c>
      <c r="K34" s="85" t="s">
        <v>110</v>
      </c>
      <c r="L34" s="85" t="s">
        <v>63</v>
      </c>
      <c r="M34" s="85" t="str">
        <f t="shared" si="0"/>
        <v>Main Power Block - FE Sales</v>
      </c>
      <c r="N34" s="84">
        <f t="shared" si="1"/>
        <v>-108.3695731319762</v>
      </c>
      <c r="O34" s="87">
        <f t="shared" si="2"/>
        <v>-91615.254107062632</v>
      </c>
      <c r="P34" s="88" t="s">
        <v>73</v>
      </c>
      <c r="Q34" s="147">
        <v>0.25</v>
      </c>
      <c r="R34" s="143" t="s">
        <v>237</v>
      </c>
      <c r="S34" s="96" t="s">
        <v>145</v>
      </c>
      <c r="T34" s="84" t="s">
        <v>82</v>
      </c>
      <c r="U34" s="84" t="s">
        <v>99</v>
      </c>
      <c r="V34" s="84" t="str">
        <f t="shared" si="3"/>
        <v>314UND33MSSCHERER-NON845.396465625nt-108.369573131976Main Power Block - FE Sales</v>
      </c>
    </row>
    <row r="35" spans="1:22" ht="15" customHeight="1" x14ac:dyDescent="0.25">
      <c r="A35" s="85" t="s">
        <v>115</v>
      </c>
      <c r="B35" s="86" t="s">
        <v>158</v>
      </c>
      <c r="C35" s="101" t="s">
        <v>149</v>
      </c>
      <c r="D35" s="85" t="s">
        <v>133</v>
      </c>
      <c r="E35" s="85" t="s">
        <v>193</v>
      </c>
      <c r="F35" s="92">
        <f>'Scherer Data'!$D$22/4*Q35</f>
        <v>69780</v>
      </c>
      <c r="G35" s="85" t="s">
        <v>36</v>
      </c>
      <c r="H35" s="91">
        <f>'Scherer Data'!$E$22</f>
        <v>-0.13699903999999999</v>
      </c>
      <c r="I35" s="135">
        <f>'Scherer Data'!$F$22/4*Q35</f>
        <v>-9559.7930111999995</v>
      </c>
      <c r="J35" s="85" t="s">
        <v>120</v>
      </c>
      <c r="K35" s="85" t="s">
        <v>121</v>
      </c>
      <c r="L35" s="85" t="s">
        <v>63</v>
      </c>
      <c r="M35" s="85" t="str">
        <f t="shared" si="0"/>
        <v>Main Power Block - SS Sales</v>
      </c>
      <c r="N35" s="84">
        <f t="shared" si="1"/>
        <v>-0.13699903999999999</v>
      </c>
      <c r="O35" s="87">
        <f t="shared" si="2"/>
        <v>-9559.7930111999995</v>
      </c>
      <c r="P35" s="88" t="s">
        <v>73</v>
      </c>
      <c r="Q35" s="147">
        <v>0.25</v>
      </c>
      <c r="R35" s="143" t="s">
        <v>237</v>
      </c>
      <c r="S35" s="96" t="s">
        <v>145</v>
      </c>
      <c r="T35" s="84" t="s">
        <v>82</v>
      </c>
      <c r="U35" s="84" t="s">
        <v>99</v>
      </c>
      <c r="V35" s="84" t="str">
        <f t="shared" si="3"/>
        <v>312UND33MSSCHERER-NON69780lbs-0.13699904Main Power Block - SS Sales</v>
      </c>
    </row>
    <row r="36" spans="1:22" ht="15" customHeight="1" x14ac:dyDescent="0.25">
      <c r="A36" s="85" t="s">
        <v>125</v>
      </c>
      <c r="B36" s="86" t="s">
        <v>159</v>
      </c>
      <c r="C36" s="101" t="s">
        <v>149</v>
      </c>
      <c r="D36" s="85" t="s">
        <v>69</v>
      </c>
      <c r="E36" s="85" t="s">
        <v>193</v>
      </c>
      <c r="F36" s="92">
        <f>'Scherer Data'!$D$23/4*Q36</f>
        <v>1041.6666666666667</v>
      </c>
      <c r="G36" s="85" t="s">
        <v>40</v>
      </c>
      <c r="H36" s="91">
        <f>'Scherer Data'!$E$23</f>
        <v>107.142</v>
      </c>
      <c r="I36" s="135">
        <f>'Scherer Data'!$F$23/4*Q36</f>
        <v>109375.00000000001</v>
      </c>
      <c r="J36" s="85" t="s">
        <v>126</v>
      </c>
      <c r="K36" s="85" t="s">
        <v>63</v>
      </c>
      <c r="L36" s="85" t="s">
        <v>63</v>
      </c>
      <c r="M36" s="85" t="str">
        <f t="shared" si="0"/>
        <v>Main Power Block - Turbine Foundations Concrete</v>
      </c>
      <c r="N36" s="84">
        <f t="shared" si="1"/>
        <v>107.142</v>
      </c>
      <c r="O36" s="87">
        <f t="shared" si="2"/>
        <v>109375.00000000001</v>
      </c>
      <c r="P36" s="88" t="s">
        <v>73</v>
      </c>
      <c r="Q36" s="147">
        <v>0.25</v>
      </c>
      <c r="R36" s="143" t="s">
        <v>237</v>
      </c>
      <c r="S36" s="96" t="s">
        <v>143</v>
      </c>
      <c r="T36" s="84" t="s">
        <v>82</v>
      </c>
      <c r="U36" s="84" t="s">
        <v>99</v>
      </c>
      <c r="V36" s="84" t="str">
        <f t="shared" si="3"/>
        <v>314UND33LRSCHERER-NON1041.66666666667cy107.142Main Power Block - Turbine Foundations Concrete</v>
      </c>
    </row>
    <row r="37" spans="1:22" ht="15" customHeight="1" x14ac:dyDescent="0.25">
      <c r="A37" s="85" t="s">
        <v>100</v>
      </c>
      <c r="B37" s="86" t="s">
        <v>152</v>
      </c>
      <c r="C37" s="86" t="s">
        <v>71</v>
      </c>
      <c r="D37" s="85" t="s">
        <v>72</v>
      </c>
      <c r="E37" s="85" t="s">
        <v>193</v>
      </c>
      <c r="F37" s="92">
        <f>'Scherer Data'!$D$11*Q37</f>
        <v>9375</v>
      </c>
      <c r="G37" s="85" t="s">
        <v>27</v>
      </c>
      <c r="H37" s="89">
        <v>2500</v>
      </c>
      <c r="I37" s="116">
        <f>'Scherer Data'!$F$11*Q37</f>
        <v>42187.5</v>
      </c>
      <c r="J37" s="85" t="s">
        <v>26</v>
      </c>
      <c r="K37" s="85" t="s">
        <v>63</v>
      </c>
      <c r="L37" s="85" t="s">
        <v>63</v>
      </c>
      <c r="M37" s="85" t="str">
        <f t="shared" si="0"/>
        <v>Pavement Repairs</v>
      </c>
      <c r="N37" s="84">
        <f t="shared" si="1"/>
        <v>2500</v>
      </c>
      <c r="O37" s="87">
        <f t="shared" si="2"/>
        <v>42187.5</v>
      </c>
      <c r="P37" s="88" t="s">
        <v>73</v>
      </c>
      <c r="Q37" s="147">
        <v>6.25E-2</v>
      </c>
      <c r="R37" s="143" t="s">
        <v>237</v>
      </c>
      <c r="S37" s="96" t="s">
        <v>143</v>
      </c>
      <c r="T37" s="84" t="s">
        <v>82</v>
      </c>
      <c r="U37" s="84" t="s">
        <v>99</v>
      </c>
      <c r="V37" s="84" t="str">
        <f t="shared" si="3"/>
        <v>3110061CCLRSCHERER-NON9375sf2500Pavement Repairs</v>
      </c>
    </row>
    <row r="38" spans="1:22" ht="15" customHeight="1" x14ac:dyDescent="0.25">
      <c r="A38" s="85" t="s">
        <v>93</v>
      </c>
      <c r="B38" s="86" t="s">
        <v>153</v>
      </c>
      <c r="C38" s="86" t="s">
        <v>71</v>
      </c>
      <c r="D38" s="85" t="s">
        <v>72</v>
      </c>
      <c r="E38" s="85" t="s">
        <v>193</v>
      </c>
      <c r="F38" s="87">
        <f>1*Q38</f>
        <v>6.25E-2</v>
      </c>
      <c r="G38" s="85" t="s">
        <v>21</v>
      </c>
      <c r="H38" s="90">
        <f>'Scherer Data'!$E$6</f>
        <v>450000</v>
      </c>
      <c r="I38" s="116">
        <f>'Scherer Data'!$F$6*Q38</f>
        <v>28125</v>
      </c>
      <c r="J38" s="85" t="s">
        <v>22</v>
      </c>
      <c r="K38" s="85" t="s">
        <v>63</v>
      </c>
      <c r="L38" s="85" t="s">
        <v>63</v>
      </c>
      <c r="M38" s="85" t="s">
        <v>204</v>
      </c>
      <c r="N38" s="84">
        <f t="shared" si="1"/>
        <v>450000</v>
      </c>
      <c r="O38" s="87">
        <f t="shared" si="2"/>
        <v>28125</v>
      </c>
      <c r="P38" s="88" t="s">
        <v>73</v>
      </c>
      <c r="Q38" s="147">
        <v>6.25E-2</v>
      </c>
      <c r="R38" s="143" t="s">
        <v>237</v>
      </c>
      <c r="S38" s="96" t="s">
        <v>143</v>
      </c>
      <c r="T38" s="84" t="s">
        <v>82</v>
      </c>
      <c r="U38" s="84"/>
      <c r="V38" s="84" t="str">
        <f t="shared" si="3"/>
        <v>3080268EACCLRSCHERER-NON0.0625ls450000Perform environmental survey of above grade structures</v>
      </c>
    </row>
    <row r="39" spans="1:22" ht="15" customHeight="1" x14ac:dyDescent="0.25">
      <c r="A39" s="85" t="s">
        <v>91</v>
      </c>
      <c r="B39" s="86" t="s">
        <v>153</v>
      </c>
      <c r="C39" s="86" t="s">
        <v>71</v>
      </c>
      <c r="D39" s="85" t="s">
        <v>72</v>
      </c>
      <c r="E39" s="102" t="s">
        <v>194</v>
      </c>
      <c r="F39" s="87">
        <f>1*Q39</f>
        <v>6.25E-2</v>
      </c>
      <c r="G39" s="85" t="s">
        <v>80</v>
      </c>
      <c r="H39" s="89">
        <f>SUMIFS($I$3:$I$289,$E$3:$E$289,$E39,$U$3:$U$289,"MARKUP",$S$3:$S$289,"REMOVAL")*0.0008</f>
        <v>8110.5920000000006</v>
      </c>
      <c r="I39" s="89">
        <f>F39*H39</f>
        <v>506.91200000000003</v>
      </c>
      <c r="J39" s="105" t="s">
        <v>92</v>
      </c>
      <c r="K39" s="85" t="s">
        <v>63</v>
      </c>
      <c r="L39" s="85" t="s">
        <v>63</v>
      </c>
      <c r="M39" s="85" t="str">
        <f t="shared" ref="M39:M53" si="5">J39</f>
        <v>PERMITS</v>
      </c>
      <c r="N39" s="84">
        <f t="shared" si="1"/>
        <v>8110.5920000000006</v>
      </c>
      <c r="O39" s="87">
        <f t="shared" si="2"/>
        <v>506.91200000000003</v>
      </c>
      <c r="P39" s="88" t="s">
        <v>65</v>
      </c>
      <c r="Q39" s="147">
        <v>6.25E-2</v>
      </c>
      <c r="R39" s="143" t="s">
        <v>237</v>
      </c>
      <c r="S39" s="96" t="s">
        <v>143</v>
      </c>
      <c r="T39" s="84" t="s">
        <v>66</v>
      </c>
      <c r="U39" s="84"/>
      <c r="V39" s="84" t="str">
        <f t="shared" si="3"/>
        <v>3080268CCLRSCHERER-ECO0.0625LT8110.592PERMITS</v>
      </c>
    </row>
    <row r="40" spans="1:22" ht="15" customHeight="1" x14ac:dyDescent="0.25">
      <c r="A40" s="85" t="s">
        <v>91</v>
      </c>
      <c r="B40" s="86" t="s">
        <v>153</v>
      </c>
      <c r="C40" s="86" t="s">
        <v>71</v>
      </c>
      <c r="D40" s="85" t="s">
        <v>72</v>
      </c>
      <c r="E40" s="85" t="s">
        <v>193</v>
      </c>
      <c r="F40" s="87">
        <f>1*Q40</f>
        <v>6.25E-2</v>
      </c>
      <c r="G40" s="85" t="s">
        <v>80</v>
      </c>
      <c r="H40" s="89">
        <f>SUMIFS($I$3:$I$289,$E$3:$E$289,$E40,$U$3:$U$289,"MARKUP",$S$3:$S$289,"REMOVAL")*0.0008</f>
        <v>28072.403200000008</v>
      </c>
      <c r="I40" s="89">
        <f>F40*H40</f>
        <v>1754.5252000000005</v>
      </c>
      <c r="J40" s="105" t="s">
        <v>92</v>
      </c>
      <c r="K40" s="85" t="s">
        <v>63</v>
      </c>
      <c r="L40" s="85" t="s">
        <v>63</v>
      </c>
      <c r="M40" s="85" t="str">
        <f t="shared" si="5"/>
        <v>PERMITS</v>
      </c>
      <c r="N40" s="84">
        <f t="shared" si="1"/>
        <v>28072.403200000008</v>
      </c>
      <c r="O40" s="87">
        <f t="shared" si="2"/>
        <v>1754.5252000000005</v>
      </c>
      <c r="P40" s="88" t="s">
        <v>73</v>
      </c>
      <c r="Q40" s="147">
        <v>6.25E-2</v>
      </c>
      <c r="R40" s="143" t="s">
        <v>237</v>
      </c>
      <c r="S40" s="96" t="s">
        <v>143</v>
      </c>
      <c r="T40" s="84" t="s">
        <v>66</v>
      </c>
      <c r="U40" s="84"/>
      <c r="V40" s="84" t="str">
        <f t="shared" si="3"/>
        <v>3080268CCLRSCHERER-NON0.0625LT28072.4032PERMITS</v>
      </c>
    </row>
    <row r="41" spans="1:22" ht="15" customHeight="1" x14ac:dyDescent="0.25">
      <c r="A41" s="85" t="s">
        <v>74</v>
      </c>
      <c r="B41" s="86" t="s">
        <v>155</v>
      </c>
      <c r="C41" s="86" t="s">
        <v>71</v>
      </c>
      <c r="D41" s="85" t="s">
        <v>72</v>
      </c>
      <c r="E41" s="85" t="s">
        <v>193</v>
      </c>
      <c r="F41" s="87">
        <f>16*Q41</f>
        <v>1</v>
      </c>
      <c r="G41" s="85" t="s">
        <v>75</v>
      </c>
      <c r="H41" s="87">
        <v>135010.76</v>
      </c>
      <c r="I41" s="87">
        <f>F41*H41</f>
        <v>135010.76</v>
      </c>
      <c r="J41" s="85" t="s">
        <v>76</v>
      </c>
      <c r="K41" s="85" t="s">
        <v>63</v>
      </c>
      <c r="L41" s="85" t="s">
        <v>63</v>
      </c>
      <c r="M41" s="85" t="str">
        <f t="shared" si="5"/>
        <v>POWER GENERATION SUPERVISION</v>
      </c>
      <c r="N41" s="84">
        <f t="shared" si="1"/>
        <v>135010.76</v>
      </c>
      <c r="O41" s="87">
        <f t="shared" si="2"/>
        <v>135010.76</v>
      </c>
      <c r="P41" s="88" t="s">
        <v>73</v>
      </c>
      <c r="Q41" s="147">
        <v>6.25E-2</v>
      </c>
      <c r="R41" s="143" t="s">
        <v>237</v>
      </c>
      <c r="S41" s="96" t="s">
        <v>143</v>
      </c>
      <c r="T41" s="84" t="s">
        <v>66</v>
      </c>
      <c r="U41" s="84"/>
      <c r="V41" s="84" t="str">
        <f t="shared" si="3"/>
        <v>3070041CCLRSCHERER-NON1MY135010.76POWER GENERATION SUPERVISION</v>
      </c>
    </row>
    <row r="42" spans="1:22" ht="15" customHeight="1" x14ac:dyDescent="0.25">
      <c r="A42" s="85" t="s">
        <v>115</v>
      </c>
      <c r="B42" s="86" t="s">
        <v>158</v>
      </c>
      <c r="C42" s="101" t="s">
        <v>149</v>
      </c>
      <c r="D42" s="85" t="s">
        <v>69</v>
      </c>
      <c r="E42" s="102" t="s">
        <v>194</v>
      </c>
      <c r="F42" s="92">
        <f>'Scherer Data'!$D$34/4*Q42</f>
        <v>725</v>
      </c>
      <c r="G42" s="85" t="s">
        <v>33</v>
      </c>
      <c r="H42" s="91">
        <f>'Scherer Data'!$E$34</f>
        <v>255.1</v>
      </c>
      <c r="I42" s="116">
        <f>'Scherer Data'!$F$34/4*Q42</f>
        <v>174000</v>
      </c>
      <c r="J42" s="85" t="s">
        <v>122</v>
      </c>
      <c r="K42" s="85" t="s">
        <v>63</v>
      </c>
      <c r="L42" s="85" t="s">
        <v>63</v>
      </c>
      <c r="M42" s="85" t="str">
        <f t="shared" si="5"/>
        <v>Precipitators - DEMO</v>
      </c>
      <c r="N42" s="84">
        <f t="shared" si="1"/>
        <v>255.1</v>
      </c>
      <c r="O42" s="87">
        <f t="shared" si="2"/>
        <v>174000</v>
      </c>
      <c r="P42" s="88" t="s">
        <v>65</v>
      </c>
      <c r="Q42" s="147">
        <v>0.25</v>
      </c>
      <c r="R42" s="143" t="s">
        <v>237</v>
      </c>
      <c r="S42" s="96" t="s">
        <v>143</v>
      </c>
      <c r="T42" s="84" t="s">
        <v>82</v>
      </c>
      <c r="U42" s="84" t="s">
        <v>99</v>
      </c>
      <c r="V42" s="84" t="str">
        <f t="shared" si="3"/>
        <v>312UND33LRSCHERER-ECO725nt255.1Precipitators - DEMO</v>
      </c>
    </row>
    <row r="43" spans="1:22" ht="15" customHeight="1" x14ac:dyDescent="0.25">
      <c r="A43" s="85" t="s">
        <v>115</v>
      </c>
      <c r="B43" s="86" t="s">
        <v>158</v>
      </c>
      <c r="C43" s="101" t="s">
        <v>149</v>
      </c>
      <c r="D43" s="85" t="s">
        <v>133</v>
      </c>
      <c r="E43" s="102" t="s">
        <v>194</v>
      </c>
      <c r="F43" s="92">
        <f>'Scherer Data'!$D$35/4*Q43</f>
        <v>725</v>
      </c>
      <c r="G43" s="85" t="s">
        <v>33</v>
      </c>
      <c r="H43" s="91">
        <f>'Scherer Data'!$E$35</f>
        <v>-108.3695731319762</v>
      </c>
      <c r="I43" s="116">
        <f>'Scherer Data'!$F$35/4*Q43</f>
        <v>-78567.940520682736</v>
      </c>
      <c r="J43" s="85" t="s">
        <v>123</v>
      </c>
      <c r="K43" s="85" t="s">
        <v>110</v>
      </c>
      <c r="L43" s="85" t="s">
        <v>63</v>
      </c>
      <c r="M43" s="85" t="str">
        <f t="shared" si="5"/>
        <v>Precipitators - FE Sales</v>
      </c>
      <c r="N43" s="84">
        <f t="shared" si="1"/>
        <v>-108.3695731319762</v>
      </c>
      <c r="O43" s="87">
        <f t="shared" si="2"/>
        <v>-78567.940520682736</v>
      </c>
      <c r="P43" s="88" t="s">
        <v>65</v>
      </c>
      <c r="Q43" s="147">
        <v>0.25</v>
      </c>
      <c r="R43" s="143" t="s">
        <v>237</v>
      </c>
      <c r="S43" s="96" t="s">
        <v>145</v>
      </c>
      <c r="T43" s="84" t="s">
        <v>82</v>
      </c>
      <c r="U43" s="84" t="s">
        <v>99</v>
      </c>
      <c r="V43" s="84" t="str">
        <f t="shared" si="3"/>
        <v>312UND33MSSCHERER-ECO725nt-108.369573131976Precipitators - FE Sales</v>
      </c>
    </row>
    <row r="44" spans="1:22" ht="15" customHeight="1" x14ac:dyDescent="0.25">
      <c r="A44" s="85" t="s">
        <v>101</v>
      </c>
      <c r="B44" s="86" t="s">
        <v>152</v>
      </c>
      <c r="C44" s="101" t="s">
        <v>149</v>
      </c>
      <c r="D44" s="85" t="s">
        <v>135</v>
      </c>
      <c r="E44" s="85" t="s">
        <v>193</v>
      </c>
      <c r="F44" s="92">
        <f>'Scherer Data'!$D$28/4*Q44</f>
        <v>1125</v>
      </c>
      <c r="G44" s="85" t="s">
        <v>33</v>
      </c>
      <c r="H44" s="90">
        <f>'Scherer Data'!$E$28</f>
        <v>15.305999999999999</v>
      </c>
      <c r="I44" s="116">
        <f>'Scherer Data'!$F$28/4*Q44</f>
        <v>16875</v>
      </c>
      <c r="J44" s="85" t="s">
        <v>103</v>
      </c>
      <c r="K44" s="85" t="s">
        <v>63</v>
      </c>
      <c r="L44" s="85" t="s">
        <v>63</v>
      </c>
      <c r="M44" s="85" t="str">
        <f t="shared" si="5"/>
        <v>Process, haul and backfill brick &amp; block</v>
      </c>
      <c r="N44" s="84">
        <f t="shared" si="1"/>
        <v>15.305999999999999</v>
      </c>
      <c r="O44" s="87">
        <f t="shared" si="2"/>
        <v>16875</v>
      </c>
      <c r="P44" s="88" t="s">
        <v>73</v>
      </c>
      <c r="Q44" s="147">
        <v>0.25</v>
      </c>
      <c r="R44" s="143" t="s">
        <v>237</v>
      </c>
      <c r="S44" s="96" t="s">
        <v>146</v>
      </c>
      <c r="T44" s="84" t="s">
        <v>82</v>
      </c>
      <c r="U44" s="84" t="s">
        <v>99</v>
      </c>
      <c r="V44" s="84" t="str">
        <f t="shared" si="3"/>
        <v>3111002CN33LDSCHERER-NON1125nt15.306Process, haul and backfill brick &amp; block</v>
      </c>
    </row>
    <row r="45" spans="1:22" ht="15" customHeight="1" x14ac:dyDescent="0.25">
      <c r="A45" s="100" t="s">
        <v>115</v>
      </c>
      <c r="B45" s="86" t="s">
        <v>158</v>
      </c>
      <c r="C45" s="101" t="s">
        <v>149</v>
      </c>
      <c r="D45" s="102" t="s">
        <v>69</v>
      </c>
      <c r="E45" s="102" t="s">
        <v>194</v>
      </c>
      <c r="F45" s="108">
        <f>'Scherer Data'!$D$38/4*Q45</f>
        <v>687.5</v>
      </c>
      <c r="G45" s="102" t="s">
        <v>33</v>
      </c>
      <c r="H45" s="103">
        <f>'Scherer Data'!$E$38</f>
        <v>275.50799999999998</v>
      </c>
      <c r="I45" s="136">
        <f>'Scherer Data'!$F$38/4*Q45</f>
        <v>178750</v>
      </c>
      <c r="J45" s="102" t="s">
        <v>138</v>
      </c>
      <c r="K45" s="102"/>
      <c r="L45" s="102"/>
      <c r="M45" s="85" t="str">
        <f t="shared" si="5"/>
        <v>SCR DEMO</v>
      </c>
      <c r="N45" s="167">
        <f t="shared" si="1"/>
        <v>275.50799999999998</v>
      </c>
      <c r="O45" s="103">
        <f t="shared" si="2"/>
        <v>178750</v>
      </c>
      <c r="P45" s="167" t="s">
        <v>65</v>
      </c>
      <c r="Q45" s="147">
        <v>0.25</v>
      </c>
      <c r="R45" s="143" t="s">
        <v>237</v>
      </c>
      <c r="S45" s="96" t="s">
        <v>143</v>
      </c>
      <c r="T45" s="167" t="s">
        <v>82</v>
      </c>
      <c r="U45" s="167" t="s">
        <v>99</v>
      </c>
      <c r="V45" s="84" t="str">
        <f t="shared" si="3"/>
        <v>312UND33LRSCHERER-ECO687.5nt275.508SCR DEMO</v>
      </c>
    </row>
    <row r="46" spans="1:22" ht="15" customHeight="1" x14ac:dyDescent="0.25">
      <c r="A46" s="100" t="s">
        <v>115</v>
      </c>
      <c r="B46" s="86" t="s">
        <v>158</v>
      </c>
      <c r="C46" s="101" t="s">
        <v>149</v>
      </c>
      <c r="D46" s="102" t="s">
        <v>133</v>
      </c>
      <c r="E46" s="102" t="s">
        <v>194</v>
      </c>
      <c r="F46" s="108">
        <f>'Scherer Data'!$D$39/4*Q46</f>
        <v>687.5</v>
      </c>
      <c r="G46" s="102" t="s">
        <v>33</v>
      </c>
      <c r="H46" s="103">
        <f>'Scherer Data'!$E$39</f>
        <v>-108.3695731319762</v>
      </c>
      <c r="I46" s="136">
        <f>'Scherer Data'!$F$39/4*Q46</f>
        <v>-74504.081528233641</v>
      </c>
      <c r="J46" s="102" t="s">
        <v>139</v>
      </c>
      <c r="K46" s="85" t="s">
        <v>110</v>
      </c>
      <c r="L46" s="102"/>
      <c r="M46" s="85" t="str">
        <f t="shared" si="5"/>
        <v>SCR FE SALES</v>
      </c>
      <c r="N46" s="167">
        <f t="shared" si="1"/>
        <v>-108.3695731319762</v>
      </c>
      <c r="O46" s="103">
        <f t="shared" si="2"/>
        <v>-74504.081528233641</v>
      </c>
      <c r="P46" s="167" t="s">
        <v>65</v>
      </c>
      <c r="Q46" s="147">
        <v>0.25</v>
      </c>
      <c r="R46" s="143" t="s">
        <v>237</v>
      </c>
      <c r="S46" s="96" t="s">
        <v>145</v>
      </c>
      <c r="T46" s="167" t="s">
        <v>82</v>
      </c>
      <c r="U46" s="167" t="s">
        <v>99</v>
      </c>
      <c r="V46" s="84" t="str">
        <f t="shared" si="3"/>
        <v>312UND33MSSCHERER-ECO687.5nt-108.369573131976SCR FE SALES</v>
      </c>
    </row>
    <row r="47" spans="1:22" ht="15" customHeight="1" x14ac:dyDescent="0.25">
      <c r="A47" s="106">
        <v>3080241</v>
      </c>
      <c r="B47" s="86" t="s">
        <v>153</v>
      </c>
      <c r="C47" s="86" t="s">
        <v>71</v>
      </c>
      <c r="D47" s="85" t="s">
        <v>72</v>
      </c>
      <c r="E47" s="102" t="s">
        <v>194</v>
      </c>
      <c r="F47" s="162">
        <v>3</v>
      </c>
      <c r="G47" s="85" t="s">
        <v>14</v>
      </c>
      <c r="H47" s="89">
        <f>SUMIFS($I$3:$I$289,$E$3:$E$289,$E47,$U$3:$U$289,"MARKUP",$S$3:$S$289,"REMOVAL")*0.01*Q47</f>
        <v>6336.4000000000005</v>
      </c>
      <c r="I47" s="89">
        <f>F47*H47</f>
        <v>19009.2</v>
      </c>
      <c r="J47" s="164" t="s">
        <v>88</v>
      </c>
      <c r="K47" s="85" t="s">
        <v>63</v>
      </c>
      <c r="L47" s="85" t="s">
        <v>63</v>
      </c>
      <c r="M47" s="85" t="str">
        <f t="shared" si="5"/>
        <v>SCS ENGINEERING</v>
      </c>
      <c r="N47" s="84">
        <f t="shared" si="1"/>
        <v>6336.4000000000005</v>
      </c>
      <c r="O47" s="87">
        <f t="shared" si="2"/>
        <v>19009.2</v>
      </c>
      <c r="P47" s="88" t="s">
        <v>65</v>
      </c>
      <c r="Q47" s="147">
        <v>6.25E-2</v>
      </c>
      <c r="R47" s="143" t="s">
        <v>237</v>
      </c>
      <c r="S47" s="96" t="s">
        <v>143</v>
      </c>
      <c r="T47" s="84" t="s">
        <v>66</v>
      </c>
      <c r="U47" s="84"/>
      <c r="V47" s="84" t="str">
        <f t="shared" si="3"/>
        <v>3080241CCLRSCHERER-ECO3%6336.4SCS ENGINEERING</v>
      </c>
    </row>
    <row r="48" spans="1:22" ht="15" customHeight="1" x14ac:dyDescent="0.25">
      <c r="A48" s="106">
        <v>3080241</v>
      </c>
      <c r="B48" s="86" t="s">
        <v>153</v>
      </c>
      <c r="C48" s="86" t="s">
        <v>71</v>
      </c>
      <c r="D48" s="85" t="s">
        <v>72</v>
      </c>
      <c r="E48" s="85" t="s">
        <v>193</v>
      </c>
      <c r="F48" s="162">
        <v>3</v>
      </c>
      <c r="G48" s="85" t="s">
        <v>14</v>
      </c>
      <c r="H48" s="89">
        <f>SUMIFS($I$3:$I$289,$E$3:$E$289,$E48,$U$3:$U$289,"MARKUP",$S$3:$S$289,"REMOVAL")*0.01*Q48</f>
        <v>21931.565000000006</v>
      </c>
      <c r="I48" s="89">
        <f>F48*H48</f>
        <v>65794.695000000022</v>
      </c>
      <c r="J48" s="164" t="s">
        <v>88</v>
      </c>
      <c r="K48" s="85" t="s">
        <v>63</v>
      </c>
      <c r="L48" s="85" t="s">
        <v>63</v>
      </c>
      <c r="M48" s="85" t="str">
        <f t="shared" si="5"/>
        <v>SCS ENGINEERING</v>
      </c>
      <c r="N48" s="84">
        <f t="shared" si="1"/>
        <v>21931.565000000006</v>
      </c>
      <c r="O48" s="87">
        <f t="shared" si="2"/>
        <v>65794.695000000022</v>
      </c>
      <c r="P48" s="88" t="s">
        <v>73</v>
      </c>
      <c r="Q48" s="147">
        <v>6.25E-2</v>
      </c>
      <c r="R48" s="143" t="s">
        <v>237</v>
      </c>
      <c r="S48" s="96" t="s">
        <v>143</v>
      </c>
      <c r="T48" s="84" t="s">
        <v>66</v>
      </c>
      <c r="U48" s="84"/>
      <c r="V48" s="84" t="str">
        <f t="shared" si="3"/>
        <v>3080241CCLRSCHERER-NON3%21931.565SCS ENGINEERING</v>
      </c>
    </row>
    <row r="49" spans="1:22" ht="15" customHeight="1" x14ac:dyDescent="0.25">
      <c r="A49" s="85" t="s">
        <v>83</v>
      </c>
      <c r="B49" s="86" t="s">
        <v>155</v>
      </c>
      <c r="C49" s="86" t="s">
        <v>71</v>
      </c>
      <c r="D49" s="85" t="s">
        <v>72</v>
      </c>
      <c r="E49" s="85" t="s">
        <v>193</v>
      </c>
      <c r="F49" s="87">
        <f>44*Q49</f>
        <v>2.75</v>
      </c>
      <c r="G49" s="85" t="s">
        <v>75</v>
      </c>
      <c r="H49" s="87">
        <v>50750.31</v>
      </c>
      <c r="I49" s="87">
        <f>F49*H49</f>
        <v>139563.35249999998</v>
      </c>
      <c r="J49" s="85" t="s">
        <v>84</v>
      </c>
      <c r="K49" s="85" t="s">
        <v>63</v>
      </c>
      <c r="L49" s="85" t="s">
        <v>63</v>
      </c>
      <c r="M49" s="85" t="str">
        <f t="shared" si="5"/>
        <v>SECURITY SERVICES</v>
      </c>
      <c r="N49" s="84">
        <f t="shared" si="1"/>
        <v>50750.31</v>
      </c>
      <c r="O49" s="87">
        <f t="shared" si="2"/>
        <v>139563.35249999998</v>
      </c>
      <c r="P49" s="88" t="s">
        <v>73</v>
      </c>
      <c r="Q49" s="147">
        <v>6.25E-2</v>
      </c>
      <c r="R49" s="143" t="s">
        <v>237</v>
      </c>
      <c r="S49" s="96" t="s">
        <v>143</v>
      </c>
      <c r="T49" s="84" t="s">
        <v>66</v>
      </c>
      <c r="U49" s="84"/>
      <c r="V49" s="84" t="str">
        <f t="shared" si="3"/>
        <v>3070221CCLRSCHERER-NON2.75MY50750.31SECURITY SERVICES</v>
      </c>
    </row>
    <row r="50" spans="1:22" ht="15" customHeight="1" x14ac:dyDescent="0.25">
      <c r="A50" s="100" t="s">
        <v>115</v>
      </c>
      <c r="B50" s="86" t="s">
        <v>158</v>
      </c>
      <c r="C50" s="101" t="s">
        <v>149</v>
      </c>
      <c r="D50" s="102" t="s">
        <v>69</v>
      </c>
      <c r="E50" s="102" t="s">
        <v>194</v>
      </c>
      <c r="F50" s="126">
        <f>'Scherer Data'!$D$44/4*Q50</f>
        <v>0.125</v>
      </c>
      <c r="G50" s="102" t="s">
        <v>42</v>
      </c>
      <c r="H50" s="103">
        <f>'Scherer Data'!$E$44</f>
        <v>550000</v>
      </c>
      <c r="I50" s="136">
        <f>'Scherer Data'!$F$44/4*Q50</f>
        <v>68750</v>
      </c>
      <c r="J50" s="102" t="s">
        <v>192</v>
      </c>
      <c r="K50" s="102"/>
      <c r="L50" s="102"/>
      <c r="M50" s="85" t="str">
        <f t="shared" si="5"/>
        <v>SO2 SCRUBBER - 2 (ea) Stacks</v>
      </c>
      <c r="N50" s="167">
        <f t="shared" si="1"/>
        <v>550000</v>
      </c>
      <c r="O50" s="103">
        <f t="shared" si="2"/>
        <v>68750</v>
      </c>
      <c r="P50" s="167" t="s">
        <v>65</v>
      </c>
      <c r="Q50" s="147">
        <v>0.25</v>
      </c>
      <c r="R50" s="143" t="s">
        <v>237</v>
      </c>
      <c r="S50" s="96" t="s">
        <v>143</v>
      </c>
      <c r="T50" s="167" t="s">
        <v>82</v>
      </c>
      <c r="U50" s="167" t="s">
        <v>99</v>
      </c>
      <c r="V50" s="84" t="str">
        <f t="shared" si="3"/>
        <v>312UND33LRSCHERER-ECO0.125ea550000SO2 SCRUBBER - 2 (ea) Stacks</v>
      </c>
    </row>
    <row r="51" spans="1:22" ht="15" customHeight="1" x14ac:dyDescent="0.25">
      <c r="A51" s="100" t="s">
        <v>115</v>
      </c>
      <c r="B51" s="86" t="s">
        <v>158</v>
      </c>
      <c r="C51" s="101" t="s">
        <v>149</v>
      </c>
      <c r="D51" s="102" t="s">
        <v>69</v>
      </c>
      <c r="E51" s="102" t="s">
        <v>194</v>
      </c>
      <c r="F51" s="115">
        <f>'Scherer Data'!$D$42/4*Q51</f>
        <v>314</v>
      </c>
      <c r="G51" s="102" t="s">
        <v>33</v>
      </c>
      <c r="H51" s="103">
        <f>'Scherer Data'!$E$42</f>
        <v>275.50799999999998</v>
      </c>
      <c r="I51" s="136">
        <f>'Scherer Data'!$F$42/4*Q51</f>
        <v>81640</v>
      </c>
      <c r="J51" s="102" t="s">
        <v>140</v>
      </c>
      <c r="K51" s="102"/>
      <c r="L51" s="102"/>
      <c r="M51" s="85" t="str">
        <f t="shared" si="5"/>
        <v>SO2 SCRUBBER - Demo FE</v>
      </c>
      <c r="N51" s="167">
        <f t="shared" si="1"/>
        <v>275.50799999999998</v>
      </c>
      <c r="O51" s="103">
        <f t="shared" si="2"/>
        <v>81640</v>
      </c>
      <c r="P51" s="167" t="s">
        <v>65</v>
      </c>
      <c r="Q51" s="147">
        <v>0.25</v>
      </c>
      <c r="R51" s="143" t="s">
        <v>237</v>
      </c>
      <c r="S51" s="96" t="s">
        <v>143</v>
      </c>
      <c r="T51" s="167" t="s">
        <v>82</v>
      </c>
      <c r="U51" s="167" t="s">
        <v>99</v>
      </c>
      <c r="V51" s="84" t="str">
        <f t="shared" si="3"/>
        <v>312UND33LRSCHERER-ECO314nt275.508SO2 SCRUBBER - Demo FE</v>
      </c>
    </row>
    <row r="52" spans="1:22" ht="15" customHeight="1" x14ac:dyDescent="0.25">
      <c r="A52" s="100" t="s">
        <v>115</v>
      </c>
      <c r="B52" s="86" t="s">
        <v>158</v>
      </c>
      <c r="C52" s="101" t="s">
        <v>149</v>
      </c>
      <c r="D52" s="102" t="s">
        <v>133</v>
      </c>
      <c r="E52" s="102" t="s">
        <v>194</v>
      </c>
      <c r="F52" s="115">
        <f>'Scherer Data'!$D$43/4*Q52</f>
        <v>314</v>
      </c>
      <c r="G52" s="102" t="s">
        <v>33</v>
      </c>
      <c r="H52" s="103">
        <f>'Scherer Data'!$E$43</f>
        <v>-108.3695731319762</v>
      </c>
      <c r="I52" s="136">
        <f>'Scherer Data'!$F$43/4*Q52</f>
        <v>-34028.045963440527</v>
      </c>
      <c r="J52" s="102" t="s">
        <v>141</v>
      </c>
      <c r="K52" s="85" t="s">
        <v>110</v>
      </c>
      <c r="L52" s="102"/>
      <c r="M52" s="85" t="str">
        <f t="shared" si="5"/>
        <v>SO2 SCRUBBER - FE Sales</v>
      </c>
      <c r="N52" s="167">
        <f t="shared" si="1"/>
        <v>-108.3695731319762</v>
      </c>
      <c r="O52" s="103">
        <f t="shared" si="2"/>
        <v>-34028.045963440527</v>
      </c>
      <c r="P52" s="167" t="s">
        <v>65</v>
      </c>
      <c r="Q52" s="147">
        <v>0.25</v>
      </c>
      <c r="R52" s="143" t="s">
        <v>237</v>
      </c>
      <c r="S52" s="96" t="s">
        <v>145</v>
      </c>
      <c r="T52" s="167" t="s">
        <v>82</v>
      </c>
      <c r="U52" s="167" t="s">
        <v>99</v>
      </c>
      <c r="V52" s="84" t="str">
        <f t="shared" si="3"/>
        <v>312UND33MSSCHERER-ECO314nt-108.369573131976SO2 SCRUBBER - FE Sales</v>
      </c>
    </row>
    <row r="53" spans="1:22" ht="15" customHeight="1" x14ac:dyDescent="0.25">
      <c r="A53" s="85" t="s">
        <v>89</v>
      </c>
      <c r="B53" s="86" t="s">
        <v>153</v>
      </c>
      <c r="C53" s="86" t="s">
        <v>71</v>
      </c>
      <c r="D53" s="85" t="s">
        <v>72</v>
      </c>
      <c r="E53" s="85" t="s">
        <v>193</v>
      </c>
      <c r="F53" s="87">
        <f>1*Q53</f>
        <v>6.25E-2</v>
      </c>
      <c r="G53" s="85" t="s">
        <v>21</v>
      </c>
      <c r="H53" s="90">
        <f>'Scherer Data'!$E$7</f>
        <v>50000</v>
      </c>
      <c r="I53" s="116">
        <f>'Scherer Data'!$F$7*Q53</f>
        <v>3125</v>
      </c>
      <c r="J53" s="85" t="s">
        <v>23</v>
      </c>
      <c r="K53" s="85" t="s">
        <v>63</v>
      </c>
      <c r="L53" s="85" t="s">
        <v>63</v>
      </c>
      <c r="M53" s="85" t="str">
        <f t="shared" si="5"/>
        <v>Storm Water Prevention Plan</v>
      </c>
      <c r="N53" s="84">
        <f t="shared" si="1"/>
        <v>50000</v>
      </c>
      <c r="O53" s="87">
        <f t="shared" si="2"/>
        <v>3125</v>
      </c>
      <c r="P53" s="88" t="s">
        <v>73</v>
      </c>
      <c r="Q53" s="147">
        <v>6.25E-2</v>
      </c>
      <c r="R53" s="143" t="s">
        <v>237</v>
      </c>
      <c r="S53" s="96" t="s">
        <v>143</v>
      </c>
      <c r="T53" s="84" t="s">
        <v>82</v>
      </c>
      <c r="U53" s="84"/>
      <c r="V53" s="84" t="str">
        <f t="shared" si="3"/>
        <v>3080241SWCCLRSCHERER-NON0.0625ls50000Storm Water Prevention Plan</v>
      </c>
    </row>
    <row r="54" spans="1:22" ht="15" customHeight="1" x14ac:dyDescent="0.25">
      <c r="A54" s="85" t="s">
        <v>77</v>
      </c>
      <c r="B54" s="86" t="s">
        <v>155</v>
      </c>
      <c r="C54" s="86" t="s">
        <v>71</v>
      </c>
      <c r="D54" s="85" t="s">
        <v>72</v>
      </c>
      <c r="E54" s="102" t="s">
        <v>194</v>
      </c>
      <c r="F54" s="87">
        <v>2</v>
      </c>
      <c r="G54" s="85" t="s">
        <v>14</v>
      </c>
      <c r="H54" s="104">
        <f>SUMIFS($I$3:$I$289,$E$3:$E$289,$E54,$U$3:$U$289,"MARKUP",$S$3:$S$289,"REMOVAL")*0.01*Q54</f>
        <v>6336.4000000000005</v>
      </c>
      <c r="I54" s="89">
        <f>F54*H54</f>
        <v>12672.800000000001</v>
      </c>
      <c r="J54" s="105" t="s">
        <v>78</v>
      </c>
      <c r="K54" s="85" t="s">
        <v>63</v>
      </c>
      <c r="L54" s="85" t="s">
        <v>63</v>
      </c>
      <c r="M54" s="85" t="s">
        <v>195</v>
      </c>
      <c r="N54" s="84">
        <f t="shared" si="1"/>
        <v>6336.4000000000005</v>
      </c>
      <c r="O54" s="87">
        <f t="shared" si="2"/>
        <v>12672.800000000001</v>
      </c>
      <c r="P54" s="88" t="s">
        <v>65</v>
      </c>
      <c r="Q54" s="147">
        <v>6.25E-2</v>
      </c>
      <c r="R54" s="143" t="s">
        <v>237</v>
      </c>
      <c r="S54" s="96" t="s">
        <v>143</v>
      </c>
      <c r="T54" s="84" t="s">
        <v>66</v>
      </c>
      <c r="U54" s="84"/>
      <c r="V54" s="84" t="str">
        <f t="shared" si="3"/>
        <v>3070201CCLRSCHERER-ECO2%6336.4TEMPORARY CONSTRUCTION SERVICES</v>
      </c>
    </row>
    <row r="55" spans="1:22" ht="15" customHeight="1" x14ac:dyDescent="0.25">
      <c r="A55" s="85" t="s">
        <v>77</v>
      </c>
      <c r="B55" s="86" t="s">
        <v>155</v>
      </c>
      <c r="C55" s="86" t="s">
        <v>71</v>
      </c>
      <c r="D55" s="85" t="s">
        <v>72</v>
      </c>
      <c r="E55" s="85" t="s">
        <v>193</v>
      </c>
      <c r="F55" s="87">
        <v>2</v>
      </c>
      <c r="G55" s="85" t="s">
        <v>14</v>
      </c>
      <c r="H55" s="104">
        <f>SUMIFS($I$3:$I$289,$E$3:$E$289,$E55,$U$3:$U$289,"MARKUP",$S$3:$S$289,"REMOVAL")*0.01*Q55</f>
        <v>21931.565000000006</v>
      </c>
      <c r="I55" s="89">
        <f>F55*H55</f>
        <v>43863.130000000012</v>
      </c>
      <c r="J55" s="105" t="s">
        <v>78</v>
      </c>
      <c r="K55" s="85" t="s">
        <v>63</v>
      </c>
      <c r="L55" s="85" t="s">
        <v>63</v>
      </c>
      <c r="M55" s="85" t="s">
        <v>195</v>
      </c>
      <c r="N55" s="84">
        <f t="shared" si="1"/>
        <v>21931.565000000006</v>
      </c>
      <c r="O55" s="87">
        <f t="shared" si="2"/>
        <v>43863.130000000012</v>
      </c>
      <c r="P55" s="88" t="s">
        <v>73</v>
      </c>
      <c r="Q55" s="147">
        <v>6.25E-2</v>
      </c>
      <c r="R55" s="143" t="s">
        <v>237</v>
      </c>
      <c r="S55" s="96" t="s">
        <v>143</v>
      </c>
      <c r="T55" s="84" t="s">
        <v>66</v>
      </c>
      <c r="U55" s="84"/>
      <c r="V55" s="84" t="str">
        <f t="shared" si="3"/>
        <v>3070201CCLRSCHERER-NON2%21931.565TEMPORARY CONSTRUCTION SERVICES</v>
      </c>
    </row>
    <row r="56" spans="1:22" ht="15" customHeight="1" x14ac:dyDescent="0.25">
      <c r="A56" s="85" t="s">
        <v>106</v>
      </c>
      <c r="B56" s="86" t="s">
        <v>152</v>
      </c>
      <c r="C56" s="101" t="s">
        <v>149</v>
      </c>
      <c r="D56" s="85" t="s">
        <v>135</v>
      </c>
      <c r="E56" s="85" t="s">
        <v>193</v>
      </c>
      <c r="F56" s="92">
        <f>'Scherer Data'!$D$25/4*Q56</f>
        <v>130.83750000000001</v>
      </c>
      <c r="G56" s="85" t="s">
        <v>33</v>
      </c>
      <c r="H56" s="91">
        <f>'Scherer Data'!$E$25</f>
        <v>66.325999999999993</v>
      </c>
      <c r="I56" s="135">
        <f>'Scherer Data'!$F$25/4*Q56</f>
        <v>8504.4375</v>
      </c>
      <c r="J56" s="85" t="s">
        <v>41</v>
      </c>
      <c r="K56" s="85" t="s">
        <v>63</v>
      </c>
      <c r="L56" s="85" t="s">
        <v>63</v>
      </c>
      <c r="M56" s="85" t="str">
        <f t="shared" ref="M56:M87" si="6">J56</f>
        <v>Transport &amp;  Dispose of Combustibles</v>
      </c>
      <c r="N56" s="84">
        <f t="shared" si="1"/>
        <v>66.325999999999993</v>
      </c>
      <c r="O56" s="87">
        <f t="shared" si="2"/>
        <v>8504.4375</v>
      </c>
      <c r="P56" s="88" t="s">
        <v>73</v>
      </c>
      <c r="Q56" s="147">
        <v>0.25</v>
      </c>
      <c r="R56" s="143" t="s">
        <v>237</v>
      </c>
      <c r="S56" s="96" t="s">
        <v>146</v>
      </c>
      <c r="T56" s="84" t="s">
        <v>82</v>
      </c>
      <c r="U56" s="84" t="s">
        <v>99</v>
      </c>
      <c r="V56" s="84" t="str">
        <f t="shared" si="3"/>
        <v>311UND33LDSCHERER-NON130.8375nt66.326Transport &amp;  Dispose of Combustibles</v>
      </c>
    </row>
    <row r="57" spans="1:22" ht="15" customHeight="1" x14ac:dyDescent="0.25">
      <c r="A57" s="85" t="s">
        <v>132</v>
      </c>
      <c r="B57" s="86" t="s">
        <v>157</v>
      </c>
      <c r="C57" s="86" t="s">
        <v>71</v>
      </c>
      <c r="D57" s="85" t="s">
        <v>105</v>
      </c>
      <c r="E57" s="85" t="s">
        <v>193</v>
      </c>
      <c r="F57" s="92">
        <f>'Scherer Data'!$D$53*Q57</f>
        <v>21.875</v>
      </c>
      <c r="G57" s="85" t="s">
        <v>33</v>
      </c>
      <c r="H57" s="91">
        <f>'Scherer Data'!$E$53</f>
        <v>66.325999999999993</v>
      </c>
      <c r="I57" s="135">
        <f>'Scherer Data'!$F$53*Q57</f>
        <v>1421.875</v>
      </c>
      <c r="J57" s="85" t="s">
        <v>41</v>
      </c>
      <c r="K57" s="85" t="s">
        <v>63</v>
      </c>
      <c r="L57" s="85" t="s">
        <v>63</v>
      </c>
      <c r="M57" s="85" t="str">
        <f t="shared" si="6"/>
        <v>Transport &amp;  Dispose of Combustibles</v>
      </c>
      <c r="N57" s="84">
        <f t="shared" si="1"/>
        <v>66.325999999999993</v>
      </c>
      <c r="O57" s="87">
        <f t="shared" si="2"/>
        <v>1421.875</v>
      </c>
      <c r="P57" s="88" t="s">
        <v>73</v>
      </c>
      <c r="Q57" s="147">
        <v>6.25E-2</v>
      </c>
      <c r="R57" s="143" t="s">
        <v>237</v>
      </c>
      <c r="S57" s="96" t="s">
        <v>146</v>
      </c>
      <c r="T57" s="84" t="s">
        <v>82</v>
      </c>
      <c r="U57" s="84" t="s">
        <v>99</v>
      </c>
      <c r="V57" s="84" t="str">
        <f t="shared" si="3"/>
        <v>341UNDCCLDSCHERER-NON21.875nt66.326Transport &amp;  Dispose of Combustibles</v>
      </c>
    </row>
    <row r="58" spans="1:22" ht="15" customHeight="1" x14ac:dyDescent="0.25">
      <c r="A58" s="85" t="s">
        <v>127</v>
      </c>
      <c r="B58" s="86" t="s">
        <v>160</v>
      </c>
      <c r="C58" s="101" t="s">
        <v>149</v>
      </c>
      <c r="D58" s="85" t="s">
        <v>133</v>
      </c>
      <c r="E58" s="85" t="s">
        <v>193</v>
      </c>
      <c r="F58" s="92">
        <f>'Scherer Data'!$D$30/4*Q58</f>
        <v>222935.00235849054</v>
      </c>
      <c r="G58" s="85" t="s">
        <v>36</v>
      </c>
      <c r="H58" s="91">
        <f>'Scherer Data'!$E$30</f>
        <v>-0.31414430979039298</v>
      </c>
      <c r="I58" s="116">
        <f>'Scherer Data'!$F$30/4*Q58</f>
        <v>-70033.762444027641</v>
      </c>
      <c r="J58" s="85" t="s">
        <v>128</v>
      </c>
      <c r="K58" s="85" t="s">
        <v>119</v>
      </c>
      <c r="L58" s="85" t="s">
        <v>129</v>
      </c>
      <c r="M58" s="85" t="str">
        <f t="shared" si="6"/>
        <v>Unit &amp; Service Transformers - CU Sales</v>
      </c>
      <c r="N58" s="84">
        <f t="shared" si="1"/>
        <v>-0.31414430979039298</v>
      </c>
      <c r="O58" s="87">
        <f t="shared" si="2"/>
        <v>-70033.762444027641</v>
      </c>
      <c r="P58" s="88" t="s">
        <v>73</v>
      </c>
      <c r="Q58" s="147">
        <v>0.25</v>
      </c>
      <c r="R58" s="143" t="s">
        <v>237</v>
      </c>
      <c r="S58" s="96" t="s">
        <v>145</v>
      </c>
      <c r="T58" s="84" t="s">
        <v>82</v>
      </c>
      <c r="U58" s="84" t="s">
        <v>99</v>
      </c>
      <c r="V58" s="84" t="str">
        <f t="shared" si="3"/>
        <v>315UND33MSSCHERER-NON222935.002358491lbs-0.314144309790393Unit &amp; Service Transformers - CU Sales</v>
      </c>
    </row>
    <row r="59" spans="1:22" ht="15" customHeight="1" x14ac:dyDescent="0.25">
      <c r="A59" s="85" t="s">
        <v>127</v>
      </c>
      <c r="B59" s="86" t="s">
        <v>160</v>
      </c>
      <c r="C59" s="101" t="s">
        <v>149</v>
      </c>
      <c r="D59" s="85" t="s">
        <v>69</v>
      </c>
      <c r="E59" s="85" t="s">
        <v>193</v>
      </c>
      <c r="F59" s="92">
        <f>'Scherer Data'!$D$29/4*Q59</f>
        <v>179.0235625</v>
      </c>
      <c r="G59" s="85" t="s">
        <v>33</v>
      </c>
      <c r="H59" s="90">
        <f>'Scherer Data'!$E$29</f>
        <v>255.1</v>
      </c>
      <c r="I59" s="116">
        <f>'Scherer Data'!$F$29/4*Q59</f>
        <v>45668.910793750001</v>
      </c>
      <c r="J59" s="85" t="s">
        <v>130</v>
      </c>
      <c r="K59" s="85" t="s">
        <v>63</v>
      </c>
      <c r="L59" s="85" t="s">
        <v>129</v>
      </c>
      <c r="M59" s="85" t="str">
        <f t="shared" si="6"/>
        <v>Unit &amp; Service Transformers - Demo</v>
      </c>
      <c r="N59" s="84">
        <f t="shared" si="1"/>
        <v>255.1</v>
      </c>
      <c r="O59" s="87">
        <f t="shared" si="2"/>
        <v>45668.910793750001</v>
      </c>
      <c r="P59" s="88" t="s">
        <v>73</v>
      </c>
      <c r="Q59" s="147">
        <v>0.25</v>
      </c>
      <c r="R59" s="143" t="s">
        <v>237</v>
      </c>
      <c r="S59" s="96" t="s">
        <v>143</v>
      </c>
      <c r="T59" s="84" t="s">
        <v>82</v>
      </c>
      <c r="U59" s="84" t="s">
        <v>99</v>
      </c>
      <c r="V59" s="84" t="str">
        <f t="shared" si="3"/>
        <v>315UND33LRSCHERER-NON179.0235625nt255.1Unit &amp; Service Transformers - Demo</v>
      </c>
    </row>
    <row r="60" spans="1:22" ht="15" customHeight="1" x14ac:dyDescent="0.25">
      <c r="A60" s="85" t="s">
        <v>127</v>
      </c>
      <c r="B60" s="86" t="s">
        <v>160</v>
      </c>
      <c r="C60" s="101" t="s">
        <v>149</v>
      </c>
      <c r="D60" s="85" t="s">
        <v>133</v>
      </c>
      <c r="E60" s="85" t="s">
        <v>193</v>
      </c>
      <c r="F60" s="92">
        <f>'Scherer Data'!$D$31/4*Q60</f>
        <v>179.0235625</v>
      </c>
      <c r="G60" s="85" t="s">
        <v>33</v>
      </c>
      <c r="H60" s="90">
        <f>'Scherer Data'!$E$31</f>
        <v>-108.3695731319762</v>
      </c>
      <c r="I60" s="116">
        <f>'Scherer Data'!$F$31/4*Q60</f>
        <v>-19400.70704869066</v>
      </c>
      <c r="J60" s="85" t="s">
        <v>131</v>
      </c>
      <c r="K60" s="85" t="s">
        <v>110</v>
      </c>
      <c r="L60" s="85" t="s">
        <v>129</v>
      </c>
      <c r="M60" s="85" t="str">
        <f t="shared" si="6"/>
        <v>Unit &amp; Service Transformers - FE Sales</v>
      </c>
      <c r="N60" s="84">
        <f t="shared" si="1"/>
        <v>-108.3695731319762</v>
      </c>
      <c r="O60" s="87">
        <f t="shared" si="2"/>
        <v>-19400.70704869066</v>
      </c>
      <c r="P60" s="88" t="s">
        <v>73</v>
      </c>
      <c r="Q60" s="147">
        <v>0.25</v>
      </c>
      <c r="R60" s="143" t="s">
        <v>237</v>
      </c>
      <c r="S60" s="96" t="s">
        <v>145</v>
      </c>
      <c r="T60" s="84" t="s">
        <v>82</v>
      </c>
      <c r="U60" s="84" t="s">
        <v>99</v>
      </c>
      <c r="V60" s="84" t="str">
        <f t="shared" si="3"/>
        <v>315UND33MSSCHERER-NON179.0235625nt-108.369573131976Unit &amp; Service Transformers - FE Sales</v>
      </c>
    </row>
    <row r="61" spans="1:22" ht="15" customHeight="1" x14ac:dyDescent="0.25">
      <c r="A61" s="85" t="s">
        <v>137</v>
      </c>
      <c r="B61" s="86" t="s">
        <v>156</v>
      </c>
      <c r="C61" s="101" t="s">
        <v>149</v>
      </c>
      <c r="D61" s="85" t="s">
        <v>135</v>
      </c>
      <c r="E61" s="85" t="s">
        <v>193</v>
      </c>
      <c r="F61" s="92">
        <f>'Scherer Data'!$D$59/4*Q61</f>
        <v>6.25E-2</v>
      </c>
      <c r="G61" s="85" t="s">
        <v>21</v>
      </c>
      <c r="H61" s="91">
        <f>'Scherer Data'!$E$59</f>
        <v>186080</v>
      </c>
      <c r="I61" s="135">
        <f>'Scherer Data'!$F$59/4*Q61</f>
        <v>11630</v>
      </c>
      <c r="J61" s="85" t="s">
        <v>49</v>
      </c>
      <c r="K61" s="85" t="s">
        <v>63</v>
      </c>
      <c r="L61" s="85" t="s">
        <v>63</v>
      </c>
      <c r="M61" s="85" t="str">
        <f t="shared" si="6"/>
        <v>Universal Wastes, Grease &amp; Oil Removal</v>
      </c>
      <c r="N61" s="84">
        <f t="shared" si="1"/>
        <v>186080</v>
      </c>
      <c r="O61" s="87">
        <f t="shared" si="2"/>
        <v>11630</v>
      </c>
      <c r="P61" s="88" t="s">
        <v>73</v>
      </c>
      <c r="Q61" s="147">
        <v>0.25</v>
      </c>
      <c r="R61" s="143" t="s">
        <v>237</v>
      </c>
      <c r="S61" s="96" t="s">
        <v>146</v>
      </c>
      <c r="T61" s="84" t="s">
        <v>82</v>
      </c>
      <c r="U61" s="84" t="s">
        <v>99</v>
      </c>
      <c r="V61" s="84" t="str">
        <f t="shared" si="3"/>
        <v>3430000FM33LDSCHERER-NON0.0625ls186080Universal Wastes, Grease &amp; Oil Removal</v>
      </c>
    </row>
    <row r="62" spans="1:22" ht="15" customHeight="1" x14ac:dyDescent="0.25">
      <c r="A62" s="85" t="s">
        <v>106</v>
      </c>
      <c r="B62" s="86" t="s">
        <v>152</v>
      </c>
      <c r="C62" s="86" t="s">
        <v>71</v>
      </c>
      <c r="D62" s="85" t="s">
        <v>72</v>
      </c>
      <c r="E62" s="85" t="s">
        <v>193</v>
      </c>
      <c r="F62" s="151">
        <f>1*Q62</f>
        <v>6.25E-2</v>
      </c>
      <c r="G62" s="85" t="s">
        <v>21</v>
      </c>
      <c r="H62" s="90">
        <f>'Scherer Data'!$E$12</f>
        <v>250000</v>
      </c>
      <c r="I62" s="116">
        <f>'Scherer Data'!$F$12*Q62</f>
        <v>15625</v>
      </c>
      <c r="J62" s="85" t="s">
        <v>28</v>
      </c>
      <c r="K62" s="85" t="s">
        <v>63</v>
      </c>
      <c r="L62" s="85" t="s">
        <v>63</v>
      </c>
      <c r="M62" s="85" t="str">
        <f t="shared" si="6"/>
        <v>Utility Disconnects</v>
      </c>
      <c r="N62" s="84">
        <f t="shared" si="1"/>
        <v>250000</v>
      </c>
      <c r="O62" s="87">
        <f t="shared" si="2"/>
        <v>15625</v>
      </c>
      <c r="P62" s="88" t="s">
        <v>73</v>
      </c>
      <c r="Q62" s="147">
        <v>6.25E-2</v>
      </c>
      <c r="R62" s="143" t="s">
        <v>237</v>
      </c>
      <c r="S62" s="96" t="s">
        <v>143</v>
      </c>
      <c r="T62" s="84" t="s">
        <v>82</v>
      </c>
      <c r="U62" s="84" t="s">
        <v>99</v>
      </c>
      <c r="V62" s="84" t="str">
        <f t="shared" si="3"/>
        <v>311UNDCCLRSCHERER-NON0.0625ls250000Utility Disconnects</v>
      </c>
    </row>
    <row r="63" spans="1:22" ht="15" customHeight="1" x14ac:dyDescent="0.25">
      <c r="A63" s="85" t="s">
        <v>94</v>
      </c>
      <c r="B63" s="86" t="s">
        <v>153</v>
      </c>
      <c r="C63" s="86" t="s">
        <v>71</v>
      </c>
      <c r="D63" s="85" t="s">
        <v>72</v>
      </c>
      <c r="E63" s="102" t="s">
        <v>194</v>
      </c>
      <c r="F63" s="87">
        <v>0.6</v>
      </c>
      <c r="G63" s="85" t="s">
        <v>14</v>
      </c>
      <c r="H63" s="104">
        <f>SUMIFS($I$3:$I$289,$E$3:$E$289,$E63,$U$3:$U$289,"MARKUP",$S$3:$S$289,"REMOVAL")*0.01*Q63</f>
        <v>6336.4000000000005</v>
      </c>
      <c r="I63" s="89">
        <f>F63*H63</f>
        <v>3801.84</v>
      </c>
      <c r="J63" s="105" t="s">
        <v>95</v>
      </c>
      <c r="K63" s="85" t="s">
        <v>63</v>
      </c>
      <c r="L63" s="85" t="s">
        <v>63</v>
      </c>
      <c r="M63" s="85" t="str">
        <f t="shared" si="6"/>
        <v>WRAP-UP AND ALL-RISK INSURANCE</v>
      </c>
      <c r="N63" s="84">
        <f t="shared" si="1"/>
        <v>6336.4000000000005</v>
      </c>
      <c r="O63" s="87">
        <f t="shared" si="2"/>
        <v>3801.84</v>
      </c>
      <c r="P63" s="88" t="s">
        <v>65</v>
      </c>
      <c r="Q63" s="147">
        <v>6.25E-2</v>
      </c>
      <c r="R63" s="143" t="s">
        <v>237</v>
      </c>
      <c r="S63" s="96" t="s">
        <v>143</v>
      </c>
      <c r="T63" s="84" t="s">
        <v>66</v>
      </c>
      <c r="U63" s="84"/>
      <c r="V63" s="84" t="str">
        <f t="shared" si="3"/>
        <v>3080361CCLRSCHERER-ECO0.6%6336.4WRAP-UP AND ALL-RISK INSURANCE</v>
      </c>
    </row>
    <row r="64" spans="1:22" ht="15" customHeight="1" x14ac:dyDescent="0.25">
      <c r="A64" s="85" t="s">
        <v>94</v>
      </c>
      <c r="B64" s="86" t="s">
        <v>153</v>
      </c>
      <c r="C64" s="86" t="s">
        <v>71</v>
      </c>
      <c r="D64" s="85" t="s">
        <v>72</v>
      </c>
      <c r="E64" s="85" t="s">
        <v>193</v>
      </c>
      <c r="F64" s="87">
        <v>0.6</v>
      </c>
      <c r="G64" s="85" t="s">
        <v>14</v>
      </c>
      <c r="H64" s="104">
        <f>SUMIFS($I$3:$I$289,$E$3:$E$289,$E64,$U$3:$U$289,"MARKUP",$S$3:$S$289,"REMOVAL")*0.01*Q64</f>
        <v>21931.565000000006</v>
      </c>
      <c r="I64" s="89">
        <f>F64*H64</f>
        <v>13158.939000000004</v>
      </c>
      <c r="J64" s="105" t="s">
        <v>95</v>
      </c>
      <c r="K64" s="85" t="s">
        <v>63</v>
      </c>
      <c r="L64" s="85" t="s">
        <v>63</v>
      </c>
      <c r="M64" s="85" t="str">
        <f t="shared" si="6"/>
        <v>WRAP-UP AND ALL-RISK INSURANCE</v>
      </c>
      <c r="N64" s="84">
        <f t="shared" si="1"/>
        <v>21931.565000000006</v>
      </c>
      <c r="O64" s="87">
        <f t="shared" si="2"/>
        <v>13158.939000000004</v>
      </c>
      <c r="P64" s="88" t="s">
        <v>73</v>
      </c>
      <c r="Q64" s="147">
        <v>6.25E-2</v>
      </c>
      <c r="R64" s="143" t="s">
        <v>237</v>
      </c>
      <c r="S64" s="96" t="s">
        <v>143</v>
      </c>
      <c r="T64" s="84" t="s">
        <v>66</v>
      </c>
      <c r="U64" s="84"/>
      <c r="V64" s="84" t="str">
        <f t="shared" si="3"/>
        <v>3080361CCLRSCHERER-NON0.6%21931.565WRAP-UP AND ALL-RISK INSURANCE</v>
      </c>
    </row>
    <row r="65" spans="1:22" ht="15" customHeight="1" x14ac:dyDescent="0.25">
      <c r="A65" s="85" t="s">
        <v>96</v>
      </c>
      <c r="B65" s="86" t="s">
        <v>151</v>
      </c>
      <c r="C65" s="86" t="s">
        <v>71</v>
      </c>
      <c r="D65" s="85" t="s">
        <v>72</v>
      </c>
      <c r="E65" s="102" t="s">
        <v>194</v>
      </c>
      <c r="F65" s="87">
        <v>1</v>
      </c>
      <c r="G65" s="85" t="s">
        <v>14</v>
      </c>
      <c r="H65" s="104">
        <f>SUMIFS($I$3:$I$289,$E$3:$E$289,$E65,$U$3:$U$289,"MARKUP",$S$3:$S$289,"REMOVAL")*0.01*Q65</f>
        <v>95046.000000000015</v>
      </c>
      <c r="I65" s="89">
        <f>F65*H65</f>
        <v>95046.000000000015</v>
      </c>
      <c r="J65" s="105" t="s">
        <v>97</v>
      </c>
      <c r="K65" s="85" t="s">
        <v>63</v>
      </c>
      <c r="L65" s="85" t="s">
        <v>63</v>
      </c>
      <c r="M65" s="85" t="str">
        <f t="shared" si="6"/>
        <v>ADMINISTRATIVE &amp; GENERAL OVERHEAD</v>
      </c>
      <c r="N65" s="84">
        <f t="shared" si="1"/>
        <v>95046.000000000015</v>
      </c>
      <c r="O65" s="87">
        <f t="shared" si="2"/>
        <v>95046.000000000015</v>
      </c>
      <c r="P65" s="88" t="s">
        <v>65</v>
      </c>
      <c r="Q65" s="147">
        <f>1-0.0625</f>
        <v>0.9375</v>
      </c>
      <c r="R65" s="143" t="s">
        <v>203</v>
      </c>
      <c r="S65" s="96" t="s">
        <v>143</v>
      </c>
      <c r="T65" s="84" t="s">
        <v>66</v>
      </c>
      <c r="U65" s="84"/>
      <c r="V65" s="84" t="str">
        <f t="shared" si="3"/>
        <v>3090481CCLRSCHERER-ECO1%95046ADMINISTRATIVE &amp; GENERAL OVERHEAD</v>
      </c>
    </row>
    <row r="66" spans="1:22" ht="15" customHeight="1" x14ac:dyDescent="0.25">
      <c r="A66" s="85" t="s">
        <v>96</v>
      </c>
      <c r="B66" s="86" t="s">
        <v>151</v>
      </c>
      <c r="C66" s="86" t="s">
        <v>71</v>
      </c>
      <c r="D66" s="85" t="s">
        <v>72</v>
      </c>
      <c r="E66" s="85" t="s">
        <v>193</v>
      </c>
      <c r="F66" s="87">
        <v>1</v>
      </c>
      <c r="G66" s="85" t="s">
        <v>14</v>
      </c>
      <c r="H66" s="104">
        <f>SUMIFS($I$3:$I$289,$E$3:$E$289,$E66,$U$3:$U$289,"MARKUP",$S$3:$S$289,"REMOVAL")*0.01*Q66</f>
        <v>328973.47500000009</v>
      </c>
      <c r="I66" s="89">
        <f>F66*H66</f>
        <v>328973.47500000009</v>
      </c>
      <c r="J66" s="105" t="s">
        <v>97</v>
      </c>
      <c r="K66" s="85" t="s">
        <v>63</v>
      </c>
      <c r="L66" s="85" t="s">
        <v>63</v>
      </c>
      <c r="M66" s="85" t="str">
        <f t="shared" si="6"/>
        <v>ADMINISTRATIVE &amp; GENERAL OVERHEAD</v>
      </c>
      <c r="N66" s="84">
        <f t="shared" si="1"/>
        <v>328973.47500000009</v>
      </c>
      <c r="O66" s="87">
        <f t="shared" si="2"/>
        <v>328973.47500000009</v>
      </c>
      <c r="P66" s="88" t="s">
        <v>73</v>
      </c>
      <c r="Q66" s="147">
        <f>1-0.0625</f>
        <v>0.9375</v>
      </c>
      <c r="R66" s="143" t="s">
        <v>203</v>
      </c>
      <c r="S66" s="96" t="s">
        <v>143</v>
      </c>
      <c r="T66" s="84" t="s">
        <v>66</v>
      </c>
      <c r="U66" s="84"/>
      <c r="V66" s="84" t="str">
        <f t="shared" si="3"/>
        <v>3090481CCLRSCHERER-NON1%328973.475ADMINISTRATIVE &amp; GENERAL OVERHEAD</v>
      </c>
    </row>
    <row r="67" spans="1:22" ht="15" customHeight="1" x14ac:dyDescent="0.25">
      <c r="A67" s="85" t="s">
        <v>106</v>
      </c>
      <c r="B67" s="86" t="s">
        <v>152</v>
      </c>
      <c r="C67" s="86" t="s">
        <v>71</v>
      </c>
      <c r="D67" s="85" t="s">
        <v>72</v>
      </c>
      <c r="E67" s="85" t="s">
        <v>193</v>
      </c>
      <c r="F67" s="92">
        <f>'Scherer Data'!$D$51*Q67</f>
        <v>609.375</v>
      </c>
      <c r="G67" s="85" t="s">
        <v>33</v>
      </c>
      <c r="H67" s="90">
        <f>'Scherer Data'!$E$51</f>
        <v>255.1</v>
      </c>
      <c r="I67" s="116">
        <f>'Scherer Data'!$F$51*Q67</f>
        <v>146250</v>
      </c>
      <c r="J67" s="85" t="s">
        <v>107</v>
      </c>
      <c r="K67" s="85" t="s">
        <v>63</v>
      </c>
      <c r="L67" s="85" t="s">
        <v>63</v>
      </c>
      <c r="M67" s="85" t="str">
        <f t="shared" si="6"/>
        <v>ANCILLARY BUILDINGS - Demo</v>
      </c>
      <c r="N67" s="84">
        <f t="shared" si="1"/>
        <v>255.1</v>
      </c>
      <c r="O67" s="87">
        <f t="shared" si="2"/>
        <v>146250</v>
      </c>
      <c r="P67" s="88" t="s">
        <v>73</v>
      </c>
      <c r="Q67" s="147">
        <f>1-0.0625</f>
        <v>0.9375</v>
      </c>
      <c r="R67" s="143" t="s">
        <v>203</v>
      </c>
      <c r="S67" s="96" t="s">
        <v>143</v>
      </c>
      <c r="T67" s="84" t="s">
        <v>82</v>
      </c>
      <c r="U67" s="84" t="s">
        <v>99</v>
      </c>
      <c r="V67" s="84" t="str">
        <f t="shared" si="3"/>
        <v>311UNDCCLRSCHERER-NON609.375nt255.1ANCILLARY BUILDINGS - Demo</v>
      </c>
    </row>
    <row r="68" spans="1:22" ht="15" customHeight="1" x14ac:dyDescent="0.25">
      <c r="A68" s="85" t="s">
        <v>106</v>
      </c>
      <c r="B68" s="86" t="s">
        <v>152</v>
      </c>
      <c r="C68" s="86" t="s">
        <v>71</v>
      </c>
      <c r="D68" s="85" t="s">
        <v>108</v>
      </c>
      <c r="E68" s="85" t="s">
        <v>193</v>
      </c>
      <c r="F68" s="92">
        <f>'Scherer Data'!$D$52*Q68</f>
        <v>609.375</v>
      </c>
      <c r="G68" s="85" t="s">
        <v>33</v>
      </c>
      <c r="H68" s="90">
        <f>'Scherer Data'!$E$52</f>
        <v>-108.3695731319762</v>
      </c>
      <c r="I68" s="116">
        <f>'Scherer Data'!$F$52*Q68</f>
        <v>-66037.708627297994</v>
      </c>
      <c r="J68" s="85" t="s">
        <v>109</v>
      </c>
      <c r="K68" s="85" t="s">
        <v>110</v>
      </c>
      <c r="L68" s="85" t="s">
        <v>63</v>
      </c>
      <c r="M68" s="85" t="str">
        <f t="shared" si="6"/>
        <v>ANCILLARY BUILDINGS - FE SALES</v>
      </c>
      <c r="N68" s="84">
        <f t="shared" si="1"/>
        <v>-108.3695731319762</v>
      </c>
      <c r="O68" s="87">
        <f t="shared" si="2"/>
        <v>-66037.708627297994</v>
      </c>
      <c r="P68" s="88" t="s">
        <v>73</v>
      </c>
      <c r="Q68" s="147">
        <f>1-0.0625</f>
        <v>0.9375</v>
      </c>
      <c r="R68" s="143" t="s">
        <v>203</v>
      </c>
      <c r="S68" s="96" t="s">
        <v>145</v>
      </c>
      <c r="T68" s="84" t="s">
        <v>82</v>
      </c>
      <c r="U68" s="84" t="s">
        <v>99</v>
      </c>
      <c r="V68" s="84" t="str">
        <f t="shared" si="3"/>
        <v>311UNDCCMSSCHERER-NON609.375nt-108.369573131976ANCILLARY BUILDINGS - FE SALES</v>
      </c>
    </row>
    <row r="69" spans="1:22" ht="15" customHeight="1" x14ac:dyDescent="0.25">
      <c r="A69" s="85" t="s">
        <v>115</v>
      </c>
      <c r="B69" s="86" t="s">
        <v>158</v>
      </c>
      <c r="C69" s="101" t="s">
        <v>147</v>
      </c>
      <c r="D69" s="85" t="s">
        <v>67</v>
      </c>
      <c r="E69" s="102" t="s">
        <v>194</v>
      </c>
      <c r="F69" s="92">
        <f>'Scherer Data'!$D$47/4*Q69</f>
        <v>182.70000000000002</v>
      </c>
      <c r="G69" s="85" t="s">
        <v>33</v>
      </c>
      <c r="H69" s="91">
        <f>'Scherer Data'!$E$47</f>
        <v>255.1</v>
      </c>
      <c r="I69" s="116">
        <f>'Scherer Data'!$F$47/4*Q69</f>
        <v>43848</v>
      </c>
      <c r="J69" s="85" t="s">
        <v>197</v>
      </c>
      <c r="K69" s="85" t="s">
        <v>63</v>
      </c>
      <c r="L69" s="85" t="s">
        <v>63</v>
      </c>
      <c r="M69" s="85" t="str">
        <f t="shared" si="6"/>
        <v>Baghouses - DEMO</v>
      </c>
      <c r="N69" s="84">
        <f t="shared" ref="N69:N132" si="7">H69</f>
        <v>255.1</v>
      </c>
      <c r="O69" s="87">
        <f t="shared" ref="O69:O132" si="8">I69</f>
        <v>43848</v>
      </c>
      <c r="P69" s="88" t="s">
        <v>65</v>
      </c>
      <c r="Q69" s="147">
        <v>8.4000000000000005E-2</v>
      </c>
      <c r="R69" s="143" t="s">
        <v>203</v>
      </c>
      <c r="S69" s="96" t="s">
        <v>143</v>
      </c>
      <c r="T69" s="84" t="s">
        <v>82</v>
      </c>
      <c r="U69" s="84" t="s">
        <v>99</v>
      </c>
      <c r="V69" s="84" t="str">
        <f t="shared" ref="V69:V132" si="9">A69&amp;C69&amp;D69&amp;E69&amp;F69&amp;G69&amp;H69&amp;J69</f>
        <v>312UND11LRSCHERER-ECO182.7nt255.1Baghouses - DEMO</v>
      </c>
    </row>
    <row r="70" spans="1:22" ht="15" customHeight="1" x14ac:dyDescent="0.25">
      <c r="A70" s="85" t="s">
        <v>115</v>
      </c>
      <c r="B70" s="86" t="s">
        <v>158</v>
      </c>
      <c r="C70" s="101" t="s">
        <v>148</v>
      </c>
      <c r="D70" s="85" t="s">
        <v>68</v>
      </c>
      <c r="E70" s="102" t="s">
        <v>194</v>
      </c>
      <c r="F70" s="92">
        <f>'Scherer Data'!$D$47/4*Q70</f>
        <v>182.70000000000002</v>
      </c>
      <c r="G70" s="85" t="s">
        <v>33</v>
      </c>
      <c r="H70" s="91">
        <f>'Scherer Data'!$E$47</f>
        <v>255.1</v>
      </c>
      <c r="I70" s="116">
        <f>'Scherer Data'!$F$47/4*Q70</f>
        <v>43848</v>
      </c>
      <c r="J70" s="85" t="s">
        <v>197</v>
      </c>
      <c r="K70" s="85" t="s">
        <v>63</v>
      </c>
      <c r="L70" s="85" t="s">
        <v>63</v>
      </c>
      <c r="M70" s="85" t="str">
        <f t="shared" si="6"/>
        <v>Baghouses - DEMO</v>
      </c>
      <c r="N70" s="84">
        <f t="shared" si="7"/>
        <v>255.1</v>
      </c>
      <c r="O70" s="87">
        <f t="shared" si="8"/>
        <v>43848</v>
      </c>
      <c r="P70" s="88" t="s">
        <v>65</v>
      </c>
      <c r="Q70" s="147">
        <v>8.4000000000000005E-2</v>
      </c>
      <c r="R70" s="143" t="s">
        <v>203</v>
      </c>
      <c r="S70" s="96" t="s">
        <v>143</v>
      </c>
      <c r="T70" s="84" t="s">
        <v>82</v>
      </c>
      <c r="U70" s="84" t="s">
        <v>99</v>
      </c>
      <c r="V70" s="84" t="str">
        <f t="shared" si="9"/>
        <v>312UND22LRSCHERER-ECO182.7nt255.1Baghouses - DEMO</v>
      </c>
    </row>
    <row r="71" spans="1:22" ht="15" customHeight="1" x14ac:dyDescent="0.25">
      <c r="A71" s="85" t="s">
        <v>115</v>
      </c>
      <c r="B71" s="86" t="s">
        <v>158</v>
      </c>
      <c r="C71" s="101" t="s">
        <v>147</v>
      </c>
      <c r="D71" s="85" t="s">
        <v>67</v>
      </c>
      <c r="E71" s="102" t="s">
        <v>194</v>
      </c>
      <c r="F71" s="92">
        <f>'Scherer Data'!$D$47/4*Q71</f>
        <v>1992.3000000000002</v>
      </c>
      <c r="G71" s="85" t="s">
        <v>33</v>
      </c>
      <c r="H71" s="91">
        <f>'Scherer Data'!$E$47</f>
        <v>255.1</v>
      </c>
      <c r="I71" s="116">
        <f>'Scherer Data'!$F$47/4*Q71</f>
        <v>478152</v>
      </c>
      <c r="J71" s="85" t="s">
        <v>197</v>
      </c>
      <c r="K71" s="85" t="s">
        <v>63</v>
      </c>
      <c r="L71" s="85" t="s">
        <v>63</v>
      </c>
      <c r="M71" s="85" t="str">
        <f t="shared" si="6"/>
        <v>Baghouses - DEMO</v>
      </c>
      <c r="N71" s="84">
        <f t="shared" si="7"/>
        <v>255.1</v>
      </c>
      <c r="O71" s="87">
        <f t="shared" si="8"/>
        <v>478152</v>
      </c>
      <c r="P71" s="88" t="s">
        <v>65</v>
      </c>
      <c r="Q71" s="147">
        <v>0.91600000000000004</v>
      </c>
      <c r="R71" s="143" t="s">
        <v>203</v>
      </c>
      <c r="S71" s="96" t="s">
        <v>143</v>
      </c>
      <c r="T71" s="84" t="s">
        <v>82</v>
      </c>
      <c r="U71" s="84" t="s">
        <v>99</v>
      </c>
      <c r="V71" s="84" t="str">
        <f t="shared" si="9"/>
        <v>312UND11LRSCHERER-ECO1992.3nt255.1Baghouses - DEMO</v>
      </c>
    </row>
    <row r="72" spans="1:22" ht="15" customHeight="1" x14ac:dyDescent="0.25">
      <c r="A72" s="85" t="s">
        <v>115</v>
      </c>
      <c r="B72" s="86" t="s">
        <v>158</v>
      </c>
      <c r="C72" s="101" t="s">
        <v>148</v>
      </c>
      <c r="D72" s="85" t="s">
        <v>68</v>
      </c>
      <c r="E72" s="102" t="s">
        <v>194</v>
      </c>
      <c r="F72" s="92">
        <f>'Scherer Data'!$D$47/4*Q72</f>
        <v>1992.3000000000002</v>
      </c>
      <c r="G72" s="85" t="s">
        <v>33</v>
      </c>
      <c r="H72" s="91">
        <f>'Scherer Data'!$E$47</f>
        <v>255.1</v>
      </c>
      <c r="I72" s="116">
        <f>'Scherer Data'!$F$47/4*Q72</f>
        <v>478152</v>
      </c>
      <c r="J72" s="85" t="s">
        <v>197</v>
      </c>
      <c r="K72" s="85" t="s">
        <v>63</v>
      </c>
      <c r="L72" s="85" t="s">
        <v>63</v>
      </c>
      <c r="M72" s="85" t="str">
        <f t="shared" si="6"/>
        <v>Baghouses - DEMO</v>
      </c>
      <c r="N72" s="84">
        <f t="shared" si="7"/>
        <v>255.1</v>
      </c>
      <c r="O72" s="87">
        <f t="shared" si="8"/>
        <v>478152</v>
      </c>
      <c r="P72" s="88" t="s">
        <v>65</v>
      </c>
      <c r="Q72" s="147">
        <v>0.91600000000000004</v>
      </c>
      <c r="R72" s="143" t="s">
        <v>203</v>
      </c>
      <c r="S72" s="96" t="s">
        <v>143</v>
      </c>
      <c r="T72" s="84" t="s">
        <v>82</v>
      </c>
      <c r="U72" s="84" t="s">
        <v>99</v>
      </c>
      <c r="V72" s="84" t="str">
        <f t="shared" si="9"/>
        <v>312UND22LRSCHERER-ECO1992.3nt255.1Baghouses - DEMO</v>
      </c>
    </row>
    <row r="73" spans="1:22" ht="15" customHeight="1" x14ac:dyDescent="0.25">
      <c r="A73" s="85" t="s">
        <v>115</v>
      </c>
      <c r="B73" s="86" t="s">
        <v>158</v>
      </c>
      <c r="C73" s="101" t="s">
        <v>149</v>
      </c>
      <c r="D73" s="85" t="s">
        <v>69</v>
      </c>
      <c r="E73" s="102" t="s">
        <v>194</v>
      </c>
      <c r="F73" s="92">
        <f>'Scherer Data'!$D$47/4*Q73</f>
        <v>1631.25</v>
      </c>
      <c r="G73" s="85" t="s">
        <v>33</v>
      </c>
      <c r="H73" s="91">
        <f>'Scherer Data'!$E$47</f>
        <v>255.1</v>
      </c>
      <c r="I73" s="116">
        <f>'Scherer Data'!$F$47/4*Q73</f>
        <v>391500</v>
      </c>
      <c r="J73" s="85" t="s">
        <v>197</v>
      </c>
      <c r="K73" s="85" t="s">
        <v>63</v>
      </c>
      <c r="L73" s="85" t="s">
        <v>63</v>
      </c>
      <c r="M73" s="85" t="str">
        <f t="shared" si="6"/>
        <v>Baghouses - DEMO</v>
      </c>
      <c r="N73" s="84">
        <f t="shared" si="7"/>
        <v>255.1</v>
      </c>
      <c r="O73" s="87">
        <f t="shared" si="8"/>
        <v>391500</v>
      </c>
      <c r="P73" s="88" t="s">
        <v>65</v>
      </c>
      <c r="Q73" s="147">
        <v>0.75</v>
      </c>
      <c r="R73" s="143" t="s">
        <v>203</v>
      </c>
      <c r="S73" s="96" t="s">
        <v>143</v>
      </c>
      <c r="T73" s="84" t="s">
        <v>82</v>
      </c>
      <c r="U73" s="84" t="s">
        <v>99</v>
      </c>
      <c r="V73" s="84" t="str">
        <f t="shared" si="9"/>
        <v>312UND33LRSCHERER-ECO1631.25nt255.1Baghouses - DEMO</v>
      </c>
    </row>
    <row r="74" spans="1:22" ht="15" customHeight="1" x14ac:dyDescent="0.25">
      <c r="A74" s="85" t="s">
        <v>115</v>
      </c>
      <c r="B74" s="86" t="s">
        <v>158</v>
      </c>
      <c r="C74" s="101" t="s">
        <v>150</v>
      </c>
      <c r="D74" s="85" t="s">
        <v>70</v>
      </c>
      <c r="E74" s="102" t="s">
        <v>194</v>
      </c>
      <c r="F74" s="92">
        <f>'Scherer Data'!$D$47/4*Q74</f>
        <v>2175</v>
      </c>
      <c r="G74" s="85" t="s">
        <v>33</v>
      </c>
      <c r="H74" s="91">
        <f>'Scherer Data'!$E$47</f>
        <v>255.1</v>
      </c>
      <c r="I74" s="116">
        <f>'Scherer Data'!$F$47/4*Q74</f>
        <v>522000</v>
      </c>
      <c r="J74" s="85" t="s">
        <v>197</v>
      </c>
      <c r="K74" s="85" t="s">
        <v>63</v>
      </c>
      <c r="L74" s="85" t="s">
        <v>63</v>
      </c>
      <c r="M74" s="85" t="str">
        <f t="shared" si="6"/>
        <v>Baghouses - DEMO</v>
      </c>
      <c r="N74" s="84">
        <f t="shared" si="7"/>
        <v>255.1</v>
      </c>
      <c r="O74" s="87">
        <f t="shared" si="8"/>
        <v>522000</v>
      </c>
      <c r="P74" s="88" t="s">
        <v>65</v>
      </c>
      <c r="Q74" s="147">
        <v>1</v>
      </c>
      <c r="R74" s="143" t="s">
        <v>203</v>
      </c>
      <c r="S74" s="96" t="s">
        <v>143</v>
      </c>
      <c r="T74" s="84" t="s">
        <v>82</v>
      </c>
      <c r="U74" s="84" t="s">
        <v>99</v>
      </c>
      <c r="V74" s="84" t="str">
        <f t="shared" si="9"/>
        <v>312UND44LRSCHERER-ECO2175nt255.1Baghouses - DEMO</v>
      </c>
    </row>
    <row r="75" spans="1:22" ht="15" customHeight="1" x14ac:dyDescent="0.25">
      <c r="A75" s="85" t="s">
        <v>115</v>
      </c>
      <c r="B75" s="86" t="s">
        <v>158</v>
      </c>
      <c r="C75" s="101" t="s">
        <v>147</v>
      </c>
      <c r="D75" s="85" t="s">
        <v>112</v>
      </c>
      <c r="E75" s="102" t="s">
        <v>194</v>
      </c>
      <c r="F75" s="92">
        <f>'Scherer Data'!$D$48/4*Q75</f>
        <v>182.70000000000002</v>
      </c>
      <c r="G75" s="85" t="s">
        <v>33</v>
      </c>
      <c r="H75" s="91">
        <f>'Scherer Data'!$E$48</f>
        <v>-108.3695731319762</v>
      </c>
      <c r="I75" s="116">
        <f>'Scherer Data'!$F$48/4*Q75</f>
        <v>-19799.121011212053</v>
      </c>
      <c r="J75" s="85" t="s">
        <v>198</v>
      </c>
      <c r="K75" s="85" t="s">
        <v>110</v>
      </c>
      <c r="L75" s="85" t="s">
        <v>63</v>
      </c>
      <c r="M75" s="85" t="str">
        <f t="shared" si="6"/>
        <v>Baghouses - FE Sales</v>
      </c>
      <c r="N75" s="84">
        <f t="shared" si="7"/>
        <v>-108.3695731319762</v>
      </c>
      <c r="O75" s="87">
        <f t="shared" si="8"/>
        <v>-19799.121011212053</v>
      </c>
      <c r="P75" s="88" t="s">
        <v>65</v>
      </c>
      <c r="Q75" s="147">
        <v>8.4000000000000005E-2</v>
      </c>
      <c r="R75" s="143" t="s">
        <v>203</v>
      </c>
      <c r="S75" s="96" t="s">
        <v>145</v>
      </c>
      <c r="T75" s="84" t="s">
        <v>82</v>
      </c>
      <c r="U75" s="84" t="s">
        <v>99</v>
      </c>
      <c r="V75" s="84" t="str">
        <f t="shared" si="9"/>
        <v>312UND11MSSCHERER-ECO182.7nt-108.369573131976Baghouses - FE Sales</v>
      </c>
    </row>
    <row r="76" spans="1:22" ht="15" customHeight="1" x14ac:dyDescent="0.25">
      <c r="A76" s="85" t="s">
        <v>115</v>
      </c>
      <c r="B76" s="86" t="s">
        <v>158</v>
      </c>
      <c r="C76" s="101" t="s">
        <v>148</v>
      </c>
      <c r="D76" s="85" t="s">
        <v>114</v>
      </c>
      <c r="E76" s="102" t="s">
        <v>194</v>
      </c>
      <c r="F76" s="92">
        <f>'Scherer Data'!$D$48/4*Q76</f>
        <v>182.70000000000002</v>
      </c>
      <c r="G76" s="85" t="s">
        <v>33</v>
      </c>
      <c r="H76" s="91">
        <f>'Scherer Data'!$E$48</f>
        <v>-108.3695731319762</v>
      </c>
      <c r="I76" s="116">
        <f>'Scherer Data'!$F$48/4*Q76</f>
        <v>-19799.121011212053</v>
      </c>
      <c r="J76" s="85" t="s">
        <v>198</v>
      </c>
      <c r="K76" s="85" t="s">
        <v>110</v>
      </c>
      <c r="L76" s="85" t="s">
        <v>63</v>
      </c>
      <c r="M76" s="85" t="str">
        <f t="shared" si="6"/>
        <v>Baghouses - FE Sales</v>
      </c>
      <c r="N76" s="84">
        <f t="shared" si="7"/>
        <v>-108.3695731319762</v>
      </c>
      <c r="O76" s="87">
        <f t="shared" si="8"/>
        <v>-19799.121011212053</v>
      </c>
      <c r="P76" s="88" t="s">
        <v>65</v>
      </c>
      <c r="Q76" s="147">
        <v>8.4000000000000005E-2</v>
      </c>
      <c r="R76" s="143" t="s">
        <v>203</v>
      </c>
      <c r="S76" s="96" t="s">
        <v>145</v>
      </c>
      <c r="T76" s="84" t="s">
        <v>82</v>
      </c>
      <c r="U76" s="84" t="s">
        <v>99</v>
      </c>
      <c r="V76" s="84" t="str">
        <f t="shared" si="9"/>
        <v>312UND22MSSCHERER-ECO182.7nt-108.369573131976Baghouses - FE Sales</v>
      </c>
    </row>
    <row r="77" spans="1:22" ht="15" customHeight="1" x14ac:dyDescent="0.25">
      <c r="A77" s="85" t="s">
        <v>115</v>
      </c>
      <c r="B77" s="86" t="s">
        <v>158</v>
      </c>
      <c r="C77" s="101" t="s">
        <v>147</v>
      </c>
      <c r="D77" s="85" t="s">
        <v>112</v>
      </c>
      <c r="E77" s="102" t="s">
        <v>194</v>
      </c>
      <c r="F77" s="92">
        <f>'Scherer Data'!$D$48/4*Q77</f>
        <v>1992.3000000000002</v>
      </c>
      <c r="G77" s="85" t="s">
        <v>33</v>
      </c>
      <c r="H77" s="91">
        <f>'Scherer Data'!$E$48</f>
        <v>-108.3695731319762</v>
      </c>
      <c r="I77" s="116">
        <f>'Scherer Data'!$F$48/4*Q77</f>
        <v>-215904.70055083619</v>
      </c>
      <c r="J77" s="85" t="s">
        <v>198</v>
      </c>
      <c r="K77" s="85" t="s">
        <v>110</v>
      </c>
      <c r="L77" s="85" t="s">
        <v>63</v>
      </c>
      <c r="M77" s="85" t="str">
        <f t="shared" si="6"/>
        <v>Baghouses - FE Sales</v>
      </c>
      <c r="N77" s="84">
        <f t="shared" si="7"/>
        <v>-108.3695731319762</v>
      </c>
      <c r="O77" s="87">
        <f t="shared" si="8"/>
        <v>-215904.70055083619</v>
      </c>
      <c r="P77" s="88" t="s">
        <v>65</v>
      </c>
      <c r="Q77" s="147">
        <v>0.91600000000000004</v>
      </c>
      <c r="R77" s="143" t="s">
        <v>203</v>
      </c>
      <c r="S77" s="96" t="s">
        <v>145</v>
      </c>
      <c r="T77" s="84" t="s">
        <v>82</v>
      </c>
      <c r="U77" s="84" t="s">
        <v>99</v>
      </c>
      <c r="V77" s="84" t="str">
        <f t="shared" si="9"/>
        <v>312UND11MSSCHERER-ECO1992.3nt-108.369573131976Baghouses - FE Sales</v>
      </c>
    </row>
    <row r="78" spans="1:22" ht="15" customHeight="1" x14ac:dyDescent="0.25">
      <c r="A78" s="85" t="s">
        <v>115</v>
      </c>
      <c r="B78" s="86" t="s">
        <v>158</v>
      </c>
      <c r="C78" s="101" t="s">
        <v>148</v>
      </c>
      <c r="D78" s="85" t="s">
        <v>114</v>
      </c>
      <c r="E78" s="102" t="s">
        <v>194</v>
      </c>
      <c r="F78" s="92">
        <f>'Scherer Data'!$D$48/4*Q78</f>
        <v>1992.3000000000002</v>
      </c>
      <c r="G78" s="85" t="s">
        <v>33</v>
      </c>
      <c r="H78" s="91">
        <f>'Scherer Data'!$E$48</f>
        <v>-108.3695731319762</v>
      </c>
      <c r="I78" s="116">
        <f>'Scherer Data'!$F$48/4*Q78</f>
        <v>-215904.70055083619</v>
      </c>
      <c r="J78" s="85" t="s">
        <v>198</v>
      </c>
      <c r="K78" s="85" t="s">
        <v>110</v>
      </c>
      <c r="L78" s="85" t="s">
        <v>63</v>
      </c>
      <c r="M78" s="85" t="str">
        <f t="shared" si="6"/>
        <v>Baghouses - FE Sales</v>
      </c>
      <c r="N78" s="84">
        <f t="shared" si="7"/>
        <v>-108.3695731319762</v>
      </c>
      <c r="O78" s="87">
        <f t="shared" si="8"/>
        <v>-215904.70055083619</v>
      </c>
      <c r="P78" s="88" t="s">
        <v>65</v>
      </c>
      <c r="Q78" s="147">
        <v>0.91600000000000004</v>
      </c>
      <c r="R78" s="143" t="s">
        <v>203</v>
      </c>
      <c r="S78" s="96" t="s">
        <v>145</v>
      </c>
      <c r="T78" s="84" t="s">
        <v>82</v>
      </c>
      <c r="U78" s="84" t="s">
        <v>99</v>
      </c>
      <c r="V78" s="84" t="str">
        <f t="shared" si="9"/>
        <v>312UND22MSSCHERER-ECO1992.3nt-108.369573131976Baghouses - FE Sales</v>
      </c>
    </row>
    <row r="79" spans="1:22" ht="15" customHeight="1" x14ac:dyDescent="0.25">
      <c r="A79" s="85" t="s">
        <v>115</v>
      </c>
      <c r="B79" s="86" t="s">
        <v>158</v>
      </c>
      <c r="C79" s="101" t="s">
        <v>149</v>
      </c>
      <c r="D79" s="85" t="s">
        <v>133</v>
      </c>
      <c r="E79" s="102" t="s">
        <v>194</v>
      </c>
      <c r="F79" s="92">
        <f>'Scherer Data'!$D$48/4*Q79</f>
        <v>1631.25</v>
      </c>
      <c r="G79" s="85" t="s">
        <v>33</v>
      </c>
      <c r="H79" s="91">
        <f>'Scherer Data'!$E$48</f>
        <v>-108.3695731319762</v>
      </c>
      <c r="I79" s="116">
        <f>'Scherer Data'!$F$48/4*Q79</f>
        <v>-176777.86617153615</v>
      </c>
      <c r="J79" s="85" t="s">
        <v>198</v>
      </c>
      <c r="K79" s="85" t="s">
        <v>110</v>
      </c>
      <c r="L79" s="85" t="s">
        <v>63</v>
      </c>
      <c r="M79" s="85" t="str">
        <f t="shared" si="6"/>
        <v>Baghouses - FE Sales</v>
      </c>
      <c r="N79" s="84">
        <f t="shared" si="7"/>
        <v>-108.3695731319762</v>
      </c>
      <c r="O79" s="87">
        <f t="shared" si="8"/>
        <v>-176777.86617153615</v>
      </c>
      <c r="P79" s="88" t="s">
        <v>65</v>
      </c>
      <c r="Q79" s="147">
        <v>0.75</v>
      </c>
      <c r="R79" s="143" t="s">
        <v>203</v>
      </c>
      <c r="S79" s="96" t="s">
        <v>145</v>
      </c>
      <c r="T79" s="84" t="s">
        <v>82</v>
      </c>
      <c r="U79" s="84" t="s">
        <v>99</v>
      </c>
      <c r="V79" s="84" t="str">
        <f t="shared" si="9"/>
        <v>312UND33MSSCHERER-ECO1631.25nt-108.369573131976Baghouses - FE Sales</v>
      </c>
    </row>
    <row r="80" spans="1:22" ht="15" customHeight="1" x14ac:dyDescent="0.25">
      <c r="A80" s="85" t="s">
        <v>115</v>
      </c>
      <c r="B80" s="86" t="s">
        <v>158</v>
      </c>
      <c r="C80" s="101" t="s">
        <v>150</v>
      </c>
      <c r="D80" s="85" t="s">
        <v>134</v>
      </c>
      <c r="E80" s="102" t="s">
        <v>194</v>
      </c>
      <c r="F80" s="92">
        <f>'Scherer Data'!$D$48/4*Q80</f>
        <v>2175</v>
      </c>
      <c r="G80" s="85" t="s">
        <v>33</v>
      </c>
      <c r="H80" s="91">
        <f>'Scherer Data'!$E$48</f>
        <v>-108.3695731319762</v>
      </c>
      <c r="I80" s="116">
        <f>'Scherer Data'!$F$48/4*Q80</f>
        <v>-235703.82156204822</v>
      </c>
      <c r="J80" s="85" t="s">
        <v>198</v>
      </c>
      <c r="K80" s="85" t="s">
        <v>110</v>
      </c>
      <c r="L80" s="85" t="s">
        <v>63</v>
      </c>
      <c r="M80" s="85" t="str">
        <f t="shared" si="6"/>
        <v>Baghouses - FE Sales</v>
      </c>
      <c r="N80" s="84">
        <f t="shared" si="7"/>
        <v>-108.3695731319762</v>
      </c>
      <c r="O80" s="87">
        <f t="shared" si="8"/>
        <v>-235703.82156204822</v>
      </c>
      <c r="P80" s="88" t="s">
        <v>65</v>
      </c>
      <c r="Q80" s="147">
        <v>1</v>
      </c>
      <c r="R80" s="143" t="s">
        <v>203</v>
      </c>
      <c r="S80" s="96" t="s">
        <v>145</v>
      </c>
      <c r="T80" s="84" t="s">
        <v>82</v>
      </c>
      <c r="U80" s="84" t="s">
        <v>99</v>
      </c>
      <c r="V80" s="84" t="str">
        <f t="shared" si="9"/>
        <v>312UND44MSSCHERER-ECO2175nt-108.369573131976Baghouses - FE Sales</v>
      </c>
    </row>
    <row r="81" spans="1:22" ht="15" customHeight="1" x14ac:dyDescent="0.25">
      <c r="A81" s="85" t="s">
        <v>62</v>
      </c>
      <c r="B81" s="86" t="s">
        <v>154</v>
      </c>
      <c r="C81" s="101" t="s">
        <v>147</v>
      </c>
      <c r="D81" s="85" t="s">
        <v>67</v>
      </c>
      <c r="E81" s="102" t="s">
        <v>194</v>
      </c>
      <c r="F81" s="87">
        <v>0</v>
      </c>
      <c r="G81" s="85" t="s">
        <v>63</v>
      </c>
      <c r="H81" s="93"/>
      <c r="I81" s="87">
        <v>0</v>
      </c>
      <c r="J81" s="85" t="s">
        <v>64</v>
      </c>
      <c r="K81" s="85" t="s">
        <v>63</v>
      </c>
      <c r="L81" s="85" t="s">
        <v>63</v>
      </c>
      <c r="M81" s="85" t="str">
        <f t="shared" si="6"/>
        <v>CONTINGENCY</v>
      </c>
      <c r="N81" s="84">
        <f t="shared" si="7"/>
        <v>0</v>
      </c>
      <c r="O81" s="87">
        <f t="shared" si="8"/>
        <v>0</v>
      </c>
      <c r="P81" s="88" t="s">
        <v>65</v>
      </c>
      <c r="Q81" s="147">
        <v>8.4000000000000005E-2</v>
      </c>
      <c r="R81" s="143" t="s">
        <v>203</v>
      </c>
      <c r="S81" s="96" t="s">
        <v>143</v>
      </c>
      <c r="T81" s="84" t="s">
        <v>66</v>
      </c>
      <c r="U81" s="84"/>
      <c r="V81" s="84" t="str">
        <f t="shared" si="9"/>
        <v>304000011LRSCHERER-ECO0CONTINGENCY</v>
      </c>
    </row>
    <row r="82" spans="1:22" ht="15" customHeight="1" x14ac:dyDescent="0.25">
      <c r="A82" s="85" t="s">
        <v>62</v>
      </c>
      <c r="B82" s="86" t="s">
        <v>154</v>
      </c>
      <c r="C82" s="101" t="s">
        <v>148</v>
      </c>
      <c r="D82" s="85" t="s">
        <v>68</v>
      </c>
      <c r="E82" s="102" t="s">
        <v>194</v>
      </c>
      <c r="F82" s="87">
        <v>0</v>
      </c>
      <c r="G82" s="85" t="s">
        <v>63</v>
      </c>
      <c r="H82" s="93"/>
      <c r="I82" s="87">
        <v>0</v>
      </c>
      <c r="J82" s="85" t="s">
        <v>64</v>
      </c>
      <c r="K82" s="85" t="s">
        <v>63</v>
      </c>
      <c r="L82" s="85" t="s">
        <v>63</v>
      </c>
      <c r="M82" s="85" t="str">
        <f t="shared" si="6"/>
        <v>CONTINGENCY</v>
      </c>
      <c r="N82" s="84">
        <f t="shared" si="7"/>
        <v>0</v>
      </c>
      <c r="O82" s="87">
        <f t="shared" si="8"/>
        <v>0</v>
      </c>
      <c r="P82" s="88" t="s">
        <v>65</v>
      </c>
      <c r="Q82" s="147">
        <v>8.4000000000000005E-2</v>
      </c>
      <c r="R82" s="143" t="s">
        <v>203</v>
      </c>
      <c r="S82" s="96" t="s">
        <v>143</v>
      </c>
      <c r="T82" s="84" t="s">
        <v>66</v>
      </c>
      <c r="U82" s="84"/>
      <c r="V82" s="84" t="str">
        <f t="shared" si="9"/>
        <v>304000022LRSCHERER-ECO0CONTINGENCY</v>
      </c>
    </row>
    <row r="83" spans="1:22" ht="15" customHeight="1" x14ac:dyDescent="0.25">
      <c r="A83" s="85" t="s">
        <v>62</v>
      </c>
      <c r="B83" s="86" t="s">
        <v>154</v>
      </c>
      <c r="C83" s="86" t="s">
        <v>71</v>
      </c>
      <c r="D83" s="85" t="s">
        <v>72</v>
      </c>
      <c r="E83" s="102" t="s">
        <v>194</v>
      </c>
      <c r="F83" s="87">
        <v>0</v>
      </c>
      <c r="G83" s="85" t="s">
        <v>63</v>
      </c>
      <c r="H83" s="93"/>
      <c r="I83" s="87">
        <v>0</v>
      </c>
      <c r="J83" s="85" t="s">
        <v>64</v>
      </c>
      <c r="K83" s="85" t="s">
        <v>63</v>
      </c>
      <c r="L83" s="85" t="s">
        <v>63</v>
      </c>
      <c r="M83" s="85" t="str">
        <f t="shared" si="6"/>
        <v>CONTINGENCY</v>
      </c>
      <c r="N83" s="84">
        <f t="shared" si="7"/>
        <v>0</v>
      </c>
      <c r="O83" s="87">
        <f t="shared" si="8"/>
        <v>0</v>
      </c>
      <c r="P83" s="88" t="s">
        <v>65</v>
      </c>
      <c r="Q83" s="147">
        <f>1-0.0625</f>
        <v>0.9375</v>
      </c>
      <c r="R83" s="143" t="s">
        <v>203</v>
      </c>
      <c r="S83" s="96" t="s">
        <v>143</v>
      </c>
      <c r="T83" s="84" t="s">
        <v>66</v>
      </c>
      <c r="U83" s="84"/>
      <c r="V83" s="84" t="str">
        <f t="shared" si="9"/>
        <v>3040000CCLRSCHERER-ECO0CONTINGENCY</v>
      </c>
    </row>
    <row r="84" spans="1:22" ht="15" customHeight="1" x14ac:dyDescent="0.25">
      <c r="A84" s="85" t="s">
        <v>62</v>
      </c>
      <c r="B84" s="86" t="s">
        <v>154</v>
      </c>
      <c r="C84" s="101" t="s">
        <v>147</v>
      </c>
      <c r="D84" s="85" t="s">
        <v>67</v>
      </c>
      <c r="E84" s="102" t="s">
        <v>194</v>
      </c>
      <c r="F84" s="87">
        <v>0</v>
      </c>
      <c r="G84" s="85" t="s">
        <v>63</v>
      </c>
      <c r="H84" s="93"/>
      <c r="I84" s="87">
        <v>0</v>
      </c>
      <c r="J84" s="85" t="s">
        <v>64</v>
      </c>
      <c r="K84" s="85" t="s">
        <v>63</v>
      </c>
      <c r="L84" s="85" t="s">
        <v>63</v>
      </c>
      <c r="M84" s="85" t="str">
        <f t="shared" si="6"/>
        <v>CONTINGENCY</v>
      </c>
      <c r="N84" s="84">
        <f t="shared" si="7"/>
        <v>0</v>
      </c>
      <c r="O84" s="87">
        <f t="shared" si="8"/>
        <v>0</v>
      </c>
      <c r="P84" s="88" t="s">
        <v>65</v>
      </c>
      <c r="Q84" s="147">
        <v>0.91600000000000004</v>
      </c>
      <c r="R84" s="143" t="s">
        <v>203</v>
      </c>
      <c r="S84" s="96" t="s">
        <v>143</v>
      </c>
      <c r="T84" s="84" t="s">
        <v>66</v>
      </c>
      <c r="U84" s="84"/>
      <c r="V84" s="84" t="str">
        <f t="shared" si="9"/>
        <v>304000011LRSCHERER-ECO0CONTINGENCY</v>
      </c>
    </row>
    <row r="85" spans="1:22" ht="15" customHeight="1" x14ac:dyDescent="0.25">
      <c r="A85" s="85" t="s">
        <v>62</v>
      </c>
      <c r="B85" s="86" t="s">
        <v>154</v>
      </c>
      <c r="C85" s="101" t="s">
        <v>148</v>
      </c>
      <c r="D85" s="85" t="s">
        <v>68</v>
      </c>
      <c r="E85" s="102" t="s">
        <v>194</v>
      </c>
      <c r="F85" s="87">
        <v>0</v>
      </c>
      <c r="G85" s="85" t="s">
        <v>63</v>
      </c>
      <c r="H85" s="93"/>
      <c r="I85" s="87">
        <v>0</v>
      </c>
      <c r="J85" s="85" t="s">
        <v>64</v>
      </c>
      <c r="K85" s="85" t="s">
        <v>63</v>
      </c>
      <c r="L85" s="85" t="s">
        <v>63</v>
      </c>
      <c r="M85" s="85" t="str">
        <f t="shared" si="6"/>
        <v>CONTINGENCY</v>
      </c>
      <c r="N85" s="84">
        <f t="shared" si="7"/>
        <v>0</v>
      </c>
      <c r="O85" s="87">
        <f t="shared" si="8"/>
        <v>0</v>
      </c>
      <c r="P85" s="88" t="s">
        <v>65</v>
      </c>
      <c r="Q85" s="147">
        <v>0.91600000000000004</v>
      </c>
      <c r="R85" s="143" t="s">
        <v>203</v>
      </c>
      <c r="S85" s="96" t="s">
        <v>143</v>
      </c>
      <c r="T85" s="84" t="s">
        <v>66</v>
      </c>
      <c r="U85" s="84"/>
      <c r="V85" s="84" t="str">
        <f t="shared" si="9"/>
        <v>304000022LRSCHERER-ECO0CONTINGENCY</v>
      </c>
    </row>
    <row r="86" spans="1:22" ht="15" customHeight="1" x14ac:dyDescent="0.25">
      <c r="A86" s="85" t="s">
        <v>62</v>
      </c>
      <c r="B86" s="86" t="s">
        <v>154</v>
      </c>
      <c r="C86" s="101" t="s">
        <v>149</v>
      </c>
      <c r="D86" s="85" t="s">
        <v>69</v>
      </c>
      <c r="E86" s="102" t="s">
        <v>194</v>
      </c>
      <c r="F86" s="87">
        <v>0</v>
      </c>
      <c r="G86" s="85" t="s">
        <v>63</v>
      </c>
      <c r="H86" s="93"/>
      <c r="I86" s="87">
        <v>0</v>
      </c>
      <c r="J86" s="85" t="s">
        <v>64</v>
      </c>
      <c r="K86" s="85" t="s">
        <v>63</v>
      </c>
      <c r="L86" s="85" t="s">
        <v>63</v>
      </c>
      <c r="M86" s="85" t="str">
        <f t="shared" si="6"/>
        <v>CONTINGENCY</v>
      </c>
      <c r="N86" s="84">
        <f t="shared" si="7"/>
        <v>0</v>
      </c>
      <c r="O86" s="87">
        <f t="shared" si="8"/>
        <v>0</v>
      </c>
      <c r="P86" s="88" t="s">
        <v>65</v>
      </c>
      <c r="Q86" s="147">
        <v>0.75</v>
      </c>
      <c r="R86" s="143" t="s">
        <v>203</v>
      </c>
      <c r="S86" s="96" t="s">
        <v>143</v>
      </c>
      <c r="T86" s="84" t="s">
        <v>66</v>
      </c>
      <c r="U86" s="84"/>
      <c r="V86" s="84" t="str">
        <f t="shared" si="9"/>
        <v>304000033LRSCHERER-ECO0CONTINGENCY</v>
      </c>
    </row>
    <row r="87" spans="1:22" ht="15" customHeight="1" x14ac:dyDescent="0.25">
      <c r="A87" s="85" t="s">
        <v>62</v>
      </c>
      <c r="B87" s="86" t="s">
        <v>154</v>
      </c>
      <c r="C87" s="101" t="s">
        <v>150</v>
      </c>
      <c r="D87" s="85" t="s">
        <v>70</v>
      </c>
      <c r="E87" s="102" t="s">
        <v>194</v>
      </c>
      <c r="F87" s="87">
        <v>0</v>
      </c>
      <c r="G87" s="85" t="s">
        <v>63</v>
      </c>
      <c r="H87" s="93"/>
      <c r="I87" s="87">
        <v>0</v>
      </c>
      <c r="J87" s="85" t="s">
        <v>64</v>
      </c>
      <c r="K87" s="85" t="s">
        <v>63</v>
      </c>
      <c r="L87" s="85" t="s">
        <v>63</v>
      </c>
      <c r="M87" s="85" t="str">
        <f t="shared" si="6"/>
        <v>CONTINGENCY</v>
      </c>
      <c r="N87" s="84">
        <f t="shared" si="7"/>
        <v>0</v>
      </c>
      <c r="O87" s="87">
        <f t="shared" si="8"/>
        <v>0</v>
      </c>
      <c r="P87" s="88" t="s">
        <v>65</v>
      </c>
      <c r="Q87" s="147">
        <v>1</v>
      </c>
      <c r="R87" s="143" t="s">
        <v>203</v>
      </c>
      <c r="S87" s="96" t="s">
        <v>143</v>
      </c>
      <c r="T87" s="84" t="s">
        <v>66</v>
      </c>
      <c r="U87" s="84"/>
      <c r="V87" s="84" t="str">
        <f t="shared" si="9"/>
        <v>304000044LRSCHERER-ECO0CONTINGENCY</v>
      </c>
    </row>
    <row r="88" spans="1:22" ht="15" customHeight="1" x14ac:dyDescent="0.25">
      <c r="A88" s="85" t="s">
        <v>62</v>
      </c>
      <c r="B88" s="86" t="s">
        <v>154</v>
      </c>
      <c r="C88" s="101" t="s">
        <v>147</v>
      </c>
      <c r="D88" s="85" t="s">
        <v>67</v>
      </c>
      <c r="E88" s="85" t="s">
        <v>193</v>
      </c>
      <c r="F88" s="87">
        <v>0</v>
      </c>
      <c r="G88" s="85" t="s">
        <v>63</v>
      </c>
      <c r="H88" s="93"/>
      <c r="I88" s="87">
        <v>0</v>
      </c>
      <c r="J88" s="85" t="s">
        <v>64</v>
      </c>
      <c r="K88" s="85" t="s">
        <v>63</v>
      </c>
      <c r="L88" s="85" t="s">
        <v>63</v>
      </c>
      <c r="M88" s="85" t="str">
        <f t="shared" ref="M88:M119" si="10">J88</f>
        <v>CONTINGENCY</v>
      </c>
      <c r="N88" s="84">
        <f t="shared" si="7"/>
        <v>0</v>
      </c>
      <c r="O88" s="87">
        <f t="shared" si="8"/>
        <v>0</v>
      </c>
      <c r="P88" s="88" t="s">
        <v>73</v>
      </c>
      <c r="Q88" s="147">
        <v>8.4000000000000005E-2</v>
      </c>
      <c r="R88" s="143" t="s">
        <v>203</v>
      </c>
      <c r="S88" s="96" t="s">
        <v>143</v>
      </c>
      <c r="T88" s="84" t="s">
        <v>66</v>
      </c>
      <c r="U88" s="84"/>
      <c r="V88" s="84" t="str">
        <f t="shared" si="9"/>
        <v>304000011LRSCHERER-NON0CONTINGENCY</v>
      </c>
    </row>
    <row r="89" spans="1:22" ht="15" customHeight="1" x14ac:dyDescent="0.25">
      <c r="A89" s="85" t="s">
        <v>62</v>
      </c>
      <c r="B89" s="86" t="s">
        <v>154</v>
      </c>
      <c r="C89" s="101" t="s">
        <v>148</v>
      </c>
      <c r="D89" s="85" t="s">
        <v>68</v>
      </c>
      <c r="E89" s="85" t="s">
        <v>193</v>
      </c>
      <c r="F89" s="87">
        <v>0</v>
      </c>
      <c r="G89" s="85" t="s">
        <v>63</v>
      </c>
      <c r="H89" s="93"/>
      <c r="I89" s="87">
        <v>0</v>
      </c>
      <c r="J89" s="85" t="s">
        <v>64</v>
      </c>
      <c r="K89" s="85" t="s">
        <v>63</v>
      </c>
      <c r="L89" s="85" t="s">
        <v>63</v>
      </c>
      <c r="M89" s="85" t="str">
        <f t="shared" si="10"/>
        <v>CONTINGENCY</v>
      </c>
      <c r="N89" s="84">
        <f t="shared" si="7"/>
        <v>0</v>
      </c>
      <c r="O89" s="87">
        <f t="shared" si="8"/>
        <v>0</v>
      </c>
      <c r="P89" s="88" t="s">
        <v>73</v>
      </c>
      <c r="Q89" s="147">
        <v>8.4000000000000005E-2</v>
      </c>
      <c r="R89" s="143" t="s">
        <v>203</v>
      </c>
      <c r="S89" s="96" t="s">
        <v>143</v>
      </c>
      <c r="T89" s="84" t="s">
        <v>66</v>
      </c>
      <c r="U89" s="84"/>
      <c r="V89" s="84" t="str">
        <f t="shared" si="9"/>
        <v>304000022LRSCHERER-NON0CONTINGENCY</v>
      </c>
    </row>
    <row r="90" spans="1:22" ht="15" customHeight="1" x14ac:dyDescent="0.25">
      <c r="A90" s="85" t="s">
        <v>62</v>
      </c>
      <c r="B90" s="86" t="s">
        <v>154</v>
      </c>
      <c r="C90" s="86" t="s">
        <v>71</v>
      </c>
      <c r="D90" s="85" t="s">
        <v>72</v>
      </c>
      <c r="E90" s="85" t="s">
        <v>193</v>
      </c>
      <c r="F90" s="87">
        <v>0</v>
      </c>
      <c r="G90" s="85" t="s">
        <v>63</v>
      </c>
      <c r="H90" s="93"/>
      <c r="I90" s="87">
        <v>0</v>
      </c>
      <c r="J90" s="85" t="s">
        <v>64</v>
      </c>
      <c r="K90" s="85" t="s">
        <v>63</v>
      </c>
      <c r="L90" s="85" t="s">
        <v>63</v>
      </c>
      <c r="M90" s="85" t="str">
        <f t="shared" si="10"/>
        <v>CONTINGENCY</v>
      </c>
      <c r="N90" s="84">
        <f t="shared" si="7"/>
        <v>0</v>
      </c>
      <c r="O90" s="87">
        <f t="shared" si="8"/>
        <v>0</v>
      </c>
      <c r="P90" s="88" t="s">
        <v>73</v>
      </c>
      <c r="Q90" s="147">
        <f>1-0.0625</f>
        <v>0.9375</v>
      </c>
      <c r="R90" s="143" t="s">
        <v>203</v>
      </c>
      <c r="S90" s="96" t="s">
        <v>143</v>
      </c>
      <c r="T90" s="84" t="s">
        <v>66</v>
      </c>
      <c r="U90" s="84"/>
      <c r="V90" s="84" t="str">
        <f t="shared" si="9"/>
        <v>3040000CCLRSCHERER-NON0CONTINGENCY</v>
      </c>
    </row>
    <row r="91" spans="1:22" ht="15" customHeight="1" x14ac:dyDescent="0.25">
      <c r="A91" s="85" t="s">
        <v>62</v>
      </c>
      <c r="B91" s="86" t="s">
        <v>154</v>
      </c>
      <c r="C91" s="101" t="s">
        <v>147</v>
      </c>
      <c r="D91" s="85" t="s">
        <v>67</v>
      </c>
      <c r="E91" s="85" t="s">
        <v>193</v>
      </c>
      <c r="F91" s="87">
        <v>0</v>
      </c>
      <c r="G91" s="85" t="s">
        <v>63</v>
      </c>
      <c r="H91" s="93"/>
      <c r="I91" s="87">
        <v>0</v>
      </c>
      <c r="J91" s="85" t="s">
        <v>64</v>
      </c>
      <c r="K91" s="85" t="s">
        <v>63</v>
      </c>
      <c r="L91" s="85" t="s">
        <v>63</v>
      </c>
      <c r="M91" s="85" t="str">
        <f t="shared" si="10"/>
        <v>CONTINGENCY</v>
      </c>
      <c r="N91" s="84">
        <f t="shared" si="7"/>
        <v>0</v>
      </c>
      <c r="O91" s="87">
        <f t="shared" si="8"/>
        <v>0</v>
      </c>
      <c r="P91" s="88" t="s">
        <v>73</v>
      </c>
      <c r="Q91" s="147">
        <v>0.91600000000000004</v>
      </c>
      <c r="R91" s="143" t="s">
        <v>203</v>
      </c>
      <c r="S91" s="96" t="s">
        <v>143</v>
      </c>
      <c r="T91" s="84" t="s">
        <v>66</v>
      </c>
      <c r="U91" s="84"/>
      <c r="V91" s="84" t="str">
        <f t="shared" si="9"/>
        <v>304000011LRSCHERER-NON0CONTINGENCY</v>
      </c>
    </row>
    <row r="92" spans="1:22" ht="15" customHeight="1" x14ac:dyDescent="0.25">
      <c r="A92" s="85" t="s">
        <v>62</v>
      </c>
      <c r="B92" s="86" t="s">
        <v>154</v>
      </c>
      <c r="C92" s="101" t="s">
        <v>148</v>
      </c>
      <c r="D92" s="85" t="s">
        <v>68</v>
      </c>
      <c r="E92" s="85" t="s">
        <v>193</v>
      </c>
      <c r="F92" s="87">
        <v>0</v>
      </c>
      <c r="G92" s="85" t="s">
        <v>63</v>
      </c>
      <c r="H92" s="93"/>
      <c r="I92" s="87">
        <v>0</v>
      </c>
      <c r="J92" s="85" t="s">
        <v>64</v>
      </c>
      <c r="K92" s="85" t="s">
        <v>63</v>
      </c>
      <c r="L92" s="85" t="s">
        <v>63</v>
      </c>
      <c r="M92" s="85" t="str">
        <f t="shared" si="10"/>
        <v>CONTINGENCY</v>
      </c>
      <c r="N92" s="84">
        <f t="shared" si="7"/>
        <v>0</v>
      </c>
      <c r="O92" s="87">
        <f t="shared" si="8"/>
        <v>0</v>
      </c>
      <c r="P92" s="88" t="s">
        <v>73</v>
      </c>
      <c r="Q92" s="147">
        <v>0.91600000000000004</v>
      </c>
      <c r="R92" s="143" t="s">
        <v>203</v>
      </c>
      <c r="S92" s="96" t="s">
        <v>143</v>
      </c>
      <c r="T92" s="84" t="s">
        <v>66</v>
      </c>
      <c r="U92" s="84"/>
      <c r="V92" s="84" t="str">
        <f t="shared" si="9"/>
        <v>304000022LRSCHERER-NON0CONTINGENCY</v>
      </c>
    </row>
    <row r="93" spans="1:22" ht="15" customHeight="1" x14ac:dyDescent="0.25">
      <c r="A93" s="85" t="s">
        <v>62</v>
      </c>
      <c r="B93" s="86" t="s">
        <v>154</v>
      </c>
      <c r="C93" s="101" t="s">
        <v>149</v>
      </c>
      <c r="D93" s="85" t="s">
        <v>69</v>
      </c>
      <c r="E93" s="85" t="s">
        <v>193</v>
      </c>
      <c r="F93" s="87">
        <v>0</v>
      </c>
      <c r="G93" s="85" t="s">
        <v>63</v>
      </c>
      <c r="H93" s="93"/>
      <c r="I93" s="87">
        <v>0</v>
      </c>
      <c r="J93" s="85" t="s">
        <v>64</v>
      </c>
      <c r="K93" s="85" t="s">
        <v>63</v>
      </c>
      <c r="L93" s="85" t="s">
        <v>63</v>
      </c>
      <c r="M93" s="85" t="str">
        <f t="shared" si="10"/>
        <v>CONTINGENCY</v>
      </c>
      <c r="N93" s="84">
        <f t="shared" si="7"/>
        <v>0</v>
      </c>
      <c r="O93" s="87">
        <f t="shared" si="8"/>
        <v>0</v>
      </c>
      <c r="P93" s="88" t="s">
        <v>73</v>
      </c>
      <c r="Q93" s="147">
        <v>0.75</v>
      </c>
      <c r="R93" s="143" t="s">
        <v>203</v>
      </c>
      <c r="S93" s="96" t="s">
        <v>143</v>
      </c>
      <c r="T93" s="84" t="s">
        <v>66</v>
      </c>
      <c r="U93" s="84"/>
      <c r="V93" s="84" t="str">
        <f t="shared" si="9"/>
        <v>304000033LRSCHERER-NON0CONTINGENCY</v>
      </c>
    </row>
    <row r="94" spans="1:22" ht="15" customHeight="1" x14ac:dyDescent="0.25">
      <c r="A94" s="85" t="s">
        <v>62</v>
      </c>
      <c r="B94" s="86" t="s">
        <v>154</v>
      </c>
      <c r="C94" s="101" t="s">
        <v>150</v>
      </c>
      <c r="D94" s="85" t="s">
        <v>70</v>
      </c>
      <c r="E94" s="85" t="s">
        <v>193</v>
      </c>
      <c r="F94" s="87">
        <v>0</v>
      </c>
      <c r="G94" s="85" t="s">
        <v>63</v>
      </c>
      <c r="H94" s="93"/>
      <c r="I94" s="87">
        <v>0</v>
      </c>
      <c r="J94" s="85" t="s">
        <v>64</v>
      </c>
      <c r="K94" s="85" t="s">
        <v>63</v>
      </c>
      <c r="L94" s="85" t="s">
        <v>63</v>
      </c>
      <c r="M94" s="85" t="str">
        <f t="shared" si="10"/>
        <v>CONTINGENCY</v>
      </c>
      <c r="N94" s="84">
        <f t="shared" si="7"/>
        <v>0</v>
      </c>
      <c r="O94" s="87">
        <f t="shared" si="8"/>
        <v>0</v>
      </c>
      <c r="P94" s="88" t="s">
        <v>73</v>
      </c>
      <c r="Q94" s="147">
        <v>1</v>
      </c>
      <c r="R94" s="143" t="s">
        <v>203</v>
      </c>
      <c r="S94" s="96" t="s">
        <v>143</v>
      </c>
      <c r="T94" s="84" t="s">
        <v>66</v>
      </c>
      <c r="U94" s="84"/>
      <c r="V94" s="84" t="str">
        <f t="shared" si="9"/>
        <v>304000044LRSCHERER-NON0CONTINGENCY</v>
      </c>
    </row>
    <row r="95" spans="1:22" ht="15" customHeight="1" x14ac:dyDescent="0.25">
      <c r="A95" s="85" t="s">
        <v>79</v>
      </c>
      <c r="B95" s="86" t="s">
        <v>155</v>
      </c>
      <c r="C95" s="86" t="s">
        <v>71</v>
      </c>
      <c r="D95" s="85" t="s">
        <v>72</v>
      </c>
      <c r="E95" s="85" t="s">
        <v>193</v>
      </c>
      <c r="F95" s="149">
        <f>1*Q95</f>
        <v>0.9375</v>
      </c>
      <c r="G95" s="85" t="s">
        <v>80</v>
      </c>
      <c r="H95" s="90">
        <f>'Scherer Data'!$E$10</f>
        <v>450000</v>
      </c>
      <c r="I95" s="116">
        <f>'Scherer Data'!$F$10*Q95</f>
        <v>421875</v>
      </c>
      <c r="J95" s="85" t="s">
        <v>81</v>
      </c>
      <c r="K95" s="85" t="s">
        <v>63</v>
      </c>
      <c r="L95" s="85" t="s">
        <v>63</v>
      </c>
      <c r="M95" s="85" t="str">
        <f t="shared" si="10"/>
        <v>CONTRACTOR MOBILIZATION</v>
      </c>
      <c r="N95" s="84">
        <f t="shared" si="7"/>
        <v>450000</v>
      </c>
      <c r="O95" s="87">
        <f t="shared" si="8"/>
        <v>421875</v>
      </c>
      <c r="P95" s="88" t="s">
        <v>73</v>
      </c>
      <c r="Q95" s="147">
        <f>1-0.0625</f>
        <v>0.9375</v>
      </c>
      <c r="R95" s="143" t="s">
        <v>203</v>
      </c>
      <c r="S95" s="96" t="s">
        <v>143</v>
      </c>
      <c r="T95" s="84" t="s">
        <v>82</v>
      </c>
      <c r="U95" s="84"/>
      <c r="V95" s="84" t="str">
        <f t="shared" si="9"/>
        <v>3070201MOCCLRSCHERER-NON0.9375LT450000CONTRACTOR MOBILIZATION</v>
      </c>
    </row>
    <row r="96" spans="1:22" ht="15" customHeight="1" x14ac:dyDescent="0.25">
      <c r="A96" s="85" t="s">
        <v>86</v>
      </c>
      <c r="B96" s="86" t="s">
        <v>153</v>
      </c>
      <c r="C96" s="86" t="s">
        <v>71</v>
      </c>
      <c r="D96" s="85" t="s">
        <v>72</v>
      </c>
      <c r="E96" s="85" t="s">
        <v>193</v>
      </c>
      <c r="F96" s="149">
        <f>1*Q96</f>
        <v>0.9375</v>
      </c>
      <c r="G96" s="85" t="s">
        <v>21</v>
      </c>
      <c r="H96" s="90">
        <f>'Scherer Data'!$E$5</f>
        <v>50000</v>
      </c>
      <c r="I96" s="116">
        <f>'Scherer Data'!$F$5*Q96</f>
        <v>46875</v>
      </c>
      <c r="J96" s="85" t="s">
        <v>20</v>
      </c>
      <c r="K96" s="85" t="s">
        <v>63</v>
      </c>
      <c r="L96" s="85" t="s">
        <v>63</v>
      </c>
      <c r="M96" s="85" t="str">
        <f t="shared" si="10"/>
        <v>Design bulkhead for intake and discharge tunnel</v>
      </c>
      <c r="N96" s="84">
        <f t="shared" si="7"/>
        <v>50000</v>
      </c>
      <c r="O96" s="87">
        <f t="shared" si="8"/>
        <v>46875</v>
      </c>
      <c r="P96" s="88" t="s">
        <v>73</v>
      </c>
      <c r="Q96" s="147">
        <f>1-0.0625</f>
        <v>0.9375</v>
      </c>
      <c r="R96" s="143" t="s">
        <v>203</v>
      </c>
      <c r="S96" s="96" t="s">
        <v>143</v>
      </c>
      <c r="T96" s="84" t="s">
        <v>82</v>
      </c>
      <c r="U96" s="84"/>
      <c r="V96" s="84" t="str">
        <f t="shared" si="9"/>
        <v>3080241CCLRSCHERER-NON0.9375ls50000Design bulkhead for intake and discharge tunnel</v>
      </c>
    </row>
    <row r="97" spans="1:22" ht="15" customHeight="1" x14ac:dyDescent="0.25">
      <c r="A97" s="85" t="s">
        <v>115</v>
      </c>
      <c r="B97" s="86" t="s">
        <v>158</v>
      </c>
      <c r="C97" s="101" t="s">
        <v>147</v>
      </c>
      <c r="D97" s="85" t="s">
        <v>102</v>
      </c>
      <c r="E97" s="85" t="s">
        <v>193</v>
      </c>
      <c r="F97" s="92">
        <f>'Scherer Data'!$D$60/4*Q97</f>
        <v>195.38400000000001</v>
      </c>
      <c r="G97" s="85" t="s">
        <v>33</v>
      </c>
      <c r="H97" s="91">
        <f>'Scherer Data'!$E$60</f>
        <v>65</v>
      </c>
      <c r="I97" s="135">
        <f>'Scherer Data'!$F$60/4*Q97</f>
        <v>12699.960000000001</v>
      </c>
      <c r="J97" s="85" t="s">
        <v>50</v>
      </c>
      <c r="K97" s="85" t="s">
        <v>63</v>
      </c>
      <c r="L97" s="85" t="s">
        <v>63</v>
      </c>
      <c r="M97" s="85" t="str">
        <f t="shared" si="10"/>
        <v>Dispose of Refractory in Subtitle D Landfill</v>
      </c>
      <c r="N97" s="84">
        <f t="shared" si="7"/>
        <v>65</v>
      </c>
      <c r="O97" s="87">
        <f t="shared" si="8"/>
        <v>12699.960000000001</v>
      </c>
      <c r="P97" s="88" t="s">
        <v>73</v>
      </c>
      <c r="Q97" s="147">
        <v>8.4000000000000005E-2</v>
      </c>
      <c r="R97" s="143" t="s">
        <v>203</v>
      </c>
      <c r="S97" s="96" t="s">
        <v>146</v>
      </c>
      <c r="T97" s="84" t="s">
        <v>82</v>
      </c>
      <c r="U97" s="84" t="s">
        <v>99</v>
      </c>
      <c r="V97" s="84" t="str">
        <f t="shared" si="9"/>
        <v>312UND11LDSCHERER-NON195.384nt65Dispose of Refractory in Subtitle D Landfill</v>
      </c>
    </row>
    <row r="98" spans="1:22" ht="15" customHeight="1" x14ac:dyDescent="0.25">
      <c r="A98" s="85" t="s">
        <v>115</v>
      </c>
      <c r="B98" s="86" t="s">
        <v>158</v>
      </c>
      <c r="C98" s="101" t="s">
        <v>148</v>
      </c>
      <c r="D98" s="85" t="s">
        <v>104</v>
      </c>
      <c r="E98" s="85" t="s">
        <v>193</v>
      </c>
      <c r="F98" s="92">
        <f>'Scherer Data'!$D$60/4*Q98</f>
        <v>195.38400000000001</v>
      </c>
      <c r="G98" s="85" t="s">
        <v>33</v>
      </c>
      <c r="H98" s="91">
        <f>'Scherer Data'!$E$60</f>
        <v>65</v>
      </c>
      <c r="I98" s="135">
        <f>'Scherer Data'!$F$60/4*Q98</f>
        <v>12699.960000000001</v>
      </c>
      <c r="J98" s="85" t="s">
        <v>50</v>
      </c>
      <c r="K98" s="85" t="s">
        <v>63</v>
      </c>
      <c r="L98" s="85" t="s">
        <v>63</v>
      </c>
      <c r="M98" s="85" t="str">
        <f t="shared" si="10"/>
        <v>Dispose of Refractory in Subtitle D Landfill</v>
      </c>
      <c r="N98" s="84">
        <f t="shared" si="7"/>
        <v>65</v>
      </c>
      <c r="O98" s="87">
        <f t="shared" si="8"/>
        <v>12699.960000000001</v>
      </c>
      <c r="P98" s="88" t="s">
        <v>73</v>
      </c>
      <c r="Q98" s="147">
        <v>8.4000000000000005E-2</v>
      </c>
      <c r="R98" s="143" t="s">
        <v>203</v>
      </c>
      <c r="S98" s="96" t="s">
        <v>146</v>
      </c>
      <c r="T98" s="84" t="s">
        <v>82</v>
      </c>
      <c r="U98" s="84" t="s">
        <v>99</v>
      </c>
      <c r="V98" s="84" t="str">
        <f t="shared" si="9"/>
        <v>312UND22LDSCHERER-NON195.384nt65Dispose of Refractory in Subtitle D Landfill</v>
      </c>
    </row>
    <row r="99" spans="1:22" ht="15" customHeight="1" x14ac:dyDescent="0.25">
      <c r="A99" s="85" t="s">
        <v>115</v>
      </c>
      <c r="B99" s="86" t="s">
        <v>158</v>
      </c>
      <c r="C99" s="101" t="s">
        <v>147</v>
      </c>
      <c r="D99" s="85" t="s">
        <v>102</v>
      </c>
      <c r="E99" s="85" t="s">
        <v>193</v>
      </c>
      <c r="F99" s="92">
        <f>'Scherer Data'!$D$60/4*Q99</f>
        <v>2130.616</v>
      </c>
      <c r="G99" s="85" t="s">
        <v>33</v>
      </c>
      <c r="H99" s="91">
        <f>'Scherer Data'!$E$60</f>
        <v>65</v>
      </c>
      <c r="I99" s="135">
        <f>'Scherer Data'!$F$60/4*Q99</f>
        <v>138490.04</v>
      </c>
      <c r="J99" s="85" t="s">
        <v>50</v>
      </c>
      <c r="K99" s="85" t="s">
        <v>63</v>
      </c>
      <c r="L99" s="85" t="s">
        <v>63</v>
      </c>
      <c r="M99" s="85" t="str">
        <f t="shared" si="10"/>
        <v>Dispose of Refractory in Subtitle D Landfill</v>
      </c>
      <c r="N99" s="84">
        <f t="shared" si="7"/>
        <v>65</v>
      </c>
      <c r="O99" s="87">
        <f t="shared" si="8"/>
        <v>138490.04</v>
      </c>
      <c r="P99" s="88" t="s">
        <v>73</v>
      </c>
      <c r="Q99" s="147">
        <v>0.91600000000000004</v>
      </c>
      <c r="R99" s="143" t="s">
        <v>203</v>
      </c>
      <c r="S99" s="96" t="s">
        <v>146</v>
      </c>
      <c r="T99" s="84" t="s">
        <v>82</v>
      </c>
      <c r="U99" s="84" t="s">
        <v>99</v>
      </c>
      <c r="V99" s="84" t="str">
        <f t="shared" si="9"/>
        <v>312UND11LDSCHERER-NON2130.616nt65Dispose of Refractory in Subtitle D Landfill</v>
      </c>
    </row>
    <row r="100" spans="1:22" ht="15" customHeight="1" x14ac:dyDescent="0.25">
      <c r="A100" s="85" t="s">
        <v>115</v>
      </c>
      <c r="B100" s="86" t="s">
        <v>158</v>
      </c>
      <c r="C100" s="101" t="s">
        <v>148</v>
      </c>
      <c r="D100" s="85" t="s">
        <v>104</v>
      </c>
      <c r="E100" s="85" t="s">
        <v>193</v>
      </c>
      <c r="F100" s="92">
        <f>'Scherer Data'!$D$60/4*Q100</f>
        <v>2130.616</v>
      </c>
      <c r="G100" s="85" t="s">
        <v>33</v>
      </c>
      <c r="H100" s="91">
        <f>'Scherer Data'!$E$60</f>
        <v>65</v>
      </c>
      <c r="I100" s="135">
        <f>'Scherer Data'!$F$60/4*Q100</f>
        <v>138490.04</v>
      </c>
      <c r="J100" s="85" t="s">
        <v>50</v>
      </c>
      <c r="K100" s="85" t="s">
        <v>63</v>
      </c>
      <c r="L100" s="85" t="s">
        <v>63</v>
      </c>
      <c r="M100" s="85" t="str">
        <f t="shared" si="10"/>
        <v>Dispose of Refractory in Subtitle D Landfill</v>
      </c>
      <c r="N100" s="84">
        <f t="shared" si="7"/>
        <v>65</v>
      </c>
      <c r="O100" s="87">
        <f t="shared" si="8"/>
        <v>138490.04</v>
      </c>
      <c r="P100" s="88" t="s">
        <v>73</v>
      </c>
      <c r="Q100" s="147">
        <v>0.91600000000000004</v>
      </c>
      <c r="R100" s="143" t="s">
        <v>203</v>
      </c>
      <c r="S100" s="96" t="s">
        <v>146</v>
      </c>
      <c r="T100" s="84" t="s">
        <v>82</v>
      </c>
      <c r="U100" s="84" t="s">
        <v>99</v>
      </c>
      <c r="V100" s="84" t="str">
        <f t="shared" si="9"/>
        <v>312UND22LDSCHERER-NON2130.616nt65Dispose of Refractory in Subtitle D Landfill</v>
      </c>
    </row>
    <row r="101" spans="1:22" ht="15" customHeight="1" x14ac:dyDescent="0.25">
      <c r="A101" s="85" t="s">
        <v>115</v>
      </c>
      <c r="B101" s="86" t="s">
        <v>158</v>
      </c>
      <c r="C101" s="101" t="s">
        <v>149</v>
      </c>
      <c r="D101" s="85" t="s">
        <v>135</v>
      </c>
      <c r="E101" s="85" t="s">
        <v>193</v>
      </c>
      <c r="F101" s="92">
        <f>'Scherer Data'!$D$60/4*Q101</f>
        <v>1744.5</v>
      </c>
      <c r="G101" s="85" t="s">
        <v>33</v>
      </c>
      <c r="H101" s="91">
        <f>'Scherer Data'!$E$60</f>
        <v>65</v>
      </c>
      <c r="I101" s="135">
        <f>'Scherer Data'!$F$60/4*Q101</f>
        <v>113392.5</v>
      </c>
      <c r="J101" s="85" t="s">
        <v>50</v>
      </c>
      <c r="K101" s="85" t="s">
        <v>63</v>
      </c>
      <c r="L101" s="85" t="s">
        <v>63</v>
      </c>
      <c r="M101" s="85" t="str">
        <f t="shared" si="10"/>
        <v>Dispose of Refractory in Subtitle D Landfill</v>
      </c>
      <c r="N101" s="84">
        <f t="shared" si="7"/>
        <v>65</v>
      </c>
      <c r="O101" s="87">
        <f t="shared" si="8"/>
        <v>113392.5</v>
      </c>
      <c r="P101" s="88" t="s">
        <v>73</v>
      </c>
      <c r="Q101" s="147">
        <v>0.75</v>
      </c>
      <c r="R101" s="143" t="s">
        <v>203</v>
      </c>
      <c r="S101" s="96" t="s">
        <v>146</v>
      </c>
      <c r="T101" s="84" t="s">
        <v>82</v>
      </c>
      <c r="U101" s="84" t="s">
        <v>99</v>
      </c>
      <c r="V101" s="84" t="str">
        <f t="shared" si="9"/>
        <v>312UND33LDSCHERER-NON1744.5nt65Dispose of Refractory in Subtitle D Landfill</v>
      </c>
    </row>
    <row r="102" spans="1:22" ht="15" customHeight="1" x14ac:dyDescent="0.25">
      <c r="A102" s="85" t="s">
        <v>115</v>
      </c>
      <c r="B102" s="86" t="s">
        <v>158</v>
      </c>
      <c r="C102" s="101" t="s">
        <v>150</v>
      </c>
      <c r="D102" s="85" t="s">
        <v>136</v>
      </c>
      <c r="E102" s="85" t="s">
        <v>193</v>
      </c>
      <c r="F102" s="92">
        <f>'Scherer Data'!$D$60/4*Q102</f>
        <v>2326</v>
      </c>
      <c r="G102" s="85" t="s">
        <v>33</v>
      </c>
      <c r="H102" s="91">
        <f>'Scherer Data'!$E$60</f>
        <v>65</v>
      </c>
      <c r="I102" s="135">
        <f>'Scherer Data'!$F$60/4*Q102</f>
        <v>151190</v>
      </c>
      <c r="J102" s="85" t="s">
        <v>50</v>
      </c>
      <c r="K102" s="85" t="s">
        <v>63</v>
      </c>
      <c r="L102" s="85" t="s">
        <v>63</v>
      </c>
      <c r="M102" s="85" t="str">
        <f t="shared" si="10"/>
        <v>Dispose of Refractory in Subtitle D Landfill</v>
      </c>
      <c r="N102" s="84">
        <f t="shared" si="7"/>
        <v>65</v>
      </c>
      <c r="O102" s="87">
        <f t="shared" si="8"/>
        <v>151190</v>
      </c>
      <c r="P102" s="88" t="s">
        <v>73</v>
      </c>
      <c r="Q102" s="147">
        <v>1</v>
      </c>
      <c r="R102" s="143" t="s">
        <v>203</v>
      </c>
      <c r="S102" s="96" t="s">
        <v>146</v>
      </c>
      <c r="T102" s="84" t="s">
        <v>82</v>
      </c>
      <c r="U102" s="84" t="s">
        <v>99</v>
      </c>
      <c r="V102" s="84" t="str">
        <f t="shared" si="9"/>
        <v>312UND44LDSCHERER-NON2326nt65Dispose of Refractory in Subtitle D Landfill</v>
      </c>
    </row>
    <row r="103" spans="1:22" ht="15" customHeight="1" x14ac:dyDescent="0.25">
      <c r="A103" s="106">
        <v>3080261</v>
      </c>
      <c r="B103" s="86" t="s">
        <v>153</v>
      </c>
      <c r="C103" s="86" t="s">
        <v>71</v>
      </c>
      <c r="D103" s="85" t="s">
        <v>72</v>
      </c>
      <c r="E103" s="85" t="s">
        <v>193</v>
      </c>
      <c r="F103" s="92">
        <f>2000*Q103</f>
        <v>1875</v>
      </c>
      <c r="G103" s="85" t="s">
        <v>87</v>
      </c>
      <c r="H103" s="87">
        <v>101.26</v>
      </c>
      <c r="I103" s="89">
        <f>F103*H103</f>
        <v>189862.5</v>
      </c>
      <c r="J103" s="148" t="s">
        <v>90</v>
      </c>
      <c r="K103" s="85" t="s">
        <v>63</v>
      </c>
      <c r="L103" s="85" t="s">
        <v>63</v>
      </c>
      <c r="M103" s="85" t="str">
        <f t="shared" si="10"/>
        <v>GPC ENGINEERING</v>
      </c>
      <c r="N103" s="84">
        <f t="shared" si="7"/>
        <v>101.26</v>
      </c>
      <c r="O103" s="87">
        <f t="shared" si="8"/>
        <v>189862.5</v>
      </c>
      <c r="P103" s="88" t="s">
        <v>73</v>
      </c>
      <c r="Q103" s="147">
        <f>1-0.0625</f>
        <v>0.9375</v>
      </c>
      <c r="R103" s="143" t="s">
        <v>203</v>
      </c>
      <c r="S103" s="96" t="s">
        <v>143</v>
      </c>
      <c r="T103" s="84" t="s">
        <v>66</v>
      </c>
      <c r="U103" s="84"/>
      <c r="V103" s="84" t="str">
        <f t="shared" si="9"/>
        <v>3080261CCLRSCHERER-NON1875MH101.26GPC ENGINEERING</v>
      </c>
    </row>
    <row r="104" spans="1:22" ht="15" customHeight="1" x14ac:dyDescent="0.25">
      <c r="A104" s="85" t="s">
        <v>98</v>
      </c>
      <c r="B104" s="86" t="s">
        <v>152</v>
      </c>
      <c r="C104" s="86" t="s">
        <v>71</v>
      </c>
      <c r="D104" s="85" t="s">
        <v>72</v>
      </c>
      <c r="E104" s="85" t="s">
        <v>193</v>
      </c>
      <c r="F104" s="92">
        <f>'Scherer Data'!$D$15*Q104</f>
        <v>468750</v>
      </c>
      <c r="G104" s="85" t="s">
        <v>27</v>
      </c>
      <c r="H104" s="89">
        <v>0.25</v>
      </c>
      <c r="I104" s="116">
        <f>'Scherer Data'!$F$15*Q104</f>
        <v>164062.5</v>
      </c>
      <c r="J104" s="85" t="s">
        <v>31</v>
      </c>
      <c r="K104" s="85" t="s">
        <v>63</v>
      </c>
      <c r="L104" s="85" t="s">
        <v>63</v>
      </c>
      <c r="M104" s="85" t="str">
        <f t="shared" si="10"/>
        <v>Grade and Seeding</v>
      </c>
      <c r="N104" s="84">
        <f t="shared" si="7"/>
        <v>0.25</v>
      </c>
      <c r="O104" s="87">
        <f t="shared" si="8"/>
        <v>164062.5</v>
      </c>
      <c r="P104" s="88" t="s">
        <v>73</v>
      </c>
      <c r="Q104" s="147">
        <f>1-0.0625</f>
        <v>0.9375</v>
      </c>
      <c r="R104" s="143" t="s">
        <v>203</v>
      </c>
      <c r="S104" s="96" t="s">
        <v>143</v>
      </c>
      <c r="T104" s="84" t="s">
        <v>82</v>
      </c>
      <c r="U104" s="84" t="s">
        <v>99</v>
      </c>
      <c r="V104" s="84" t="str">
        <f t="shared" si="9"/>
        <v>3110001LCCCLRSCHERER-NON468750sf0.25Grade and Seeding</v>
      </c>
    </row>
    <row r="105" spans="1:22" ht="15" customHeight="1" x14ac:dyDescent="0.25">
      <c r="A105" s="85" t="s">
        <v>124</v>
      </c>
      <c r="B105" s="86" t="s">
        <v>159</v>
      </c>
      <c r="C105" s="86" t="s">
        <v>71</v>
      </c>
      <c r="D105" s="85" t="s">
        <v>72</v>
      </c>
      <c r="E105" s="85" t="s">
        <v>193</v>
      </c>
      <c r="F105" s="151">
        <f>1*Q105</f>
        <v>0.9375</v>
      </c>
      <c r="G105" s="85" t="s">
        <v>21</v>
      </c>
      <c r="H105" s="90">
        <f>'Scherer Data'!$E$13</f>
        <v>650000</v>
      </c>
      <c r="I105" s="116">
        <f>'Scherer Data'!$F$13*Q105</f>
        <v>609375</v>
      </c>
      <c r="J105" s="85" t="s">
        <v>29</v>
      </c>
      <c r="K105" s="85" t="s">
        <v>63</v>
      </c>
      <c r="L105" s="85" t="s">
        <v>63</v>
      </c>
      <c r="M105" s="85" t="str">
        <f t="shared" si="10"/>
        <v>Install Bulkhead in Intake &amp; Discharge Tunnel</v>
      </c>
      <c r="N105" s="84">
        <f t="shared" si="7"/>
        <v>650000</v>
      </c>
      <c r="O105" s="87">
        <f t="shared" si="8"/>
        <v>609375</v>
      </c>
      <c r="P105" s="88" t="s">
        <v>73</v>
      </c>
      <c r="Q105" s="147">
        <f>1-0.0625</f>
        <v>0.9375</v>
      </c>
      <c r="R105" s="143" t="s">
        <v>203</v>
      </c>
      <c r="S105" s="96" t="s">
        <v>143</v>
      </c>
      <c r="T105" s="84" t="s">
        <v>82</v>
      </c>
      <c r="U105" s="84" t="s">
        <v>99</v>
      </c>
      <c r="V105" s="84" t="str">
        <f t="shared" si="9"/>
        <v>314052102CCLRSCHERER-NON0.9375ls650000Install Bulkhead in Intake &amp; Discharge Tunnel</v>
      </c>
    </row>
    <row r="106" spans="1:22" ht="15" customHeight="1" x14ac:dyDescent="0.25">
      <c r="A106" s="85" t="s">
        <v>85</v>
      </c>
      <c r="B106" s="86" t="s">
        <v>155</v>
      </c>
      <c r="C106" s="86" t="s">
        <v>71</v>
      </c>
      <c r="D106" s="85" t="s">
        <v>72</v>
      </c>
      <c r="E106" s="85" t="s">
        <v>193</v>
      </c>
      <c r="F106" s="151">
        <f>1*Q106</f>
        <v>0.9375</v>
      </c>
      <c r="G106" s="85" t="s">
        <v>21</v>
      </c>
      <c r="H106" s="90">
        <f>'Scherer Data'!$E$14</f>
        <v>200000</v>
      </c>
      <c r="I106" s="116">
        <f>'Scherer Data'!$F$14*Q106</f>
        <v>187500</v>
      </c>
      <c r="J106" s="85" t="s">
        <v>163</v>
      </c>
      <c r="K106" s="85" t="s">
        <v>63</v>
      </c>
      <c r="L106" s="85" t="s">
        <v>63</v>
      </c>
      <c r="M106" s="85" t="str">
        <f t="shared" si="10"/>
        <v>Install Electrical for Decommissioning Work</v>
      </c>
      <c r="N106" s="84">
        <f t="shared" si="7"/>
        <v>200000</v>
      </c>
      <c r="O106" s="87">
        <f t="shared" si="8"/>
        <v>187500</v>
      </c>
      <c r="P106" s="88" t="s">
        <v>73</v>
      </c>
      <c r="Q106" s="147">
        <f>1-0.0625</f>
        <v>0.9375</v>
      </c>
      <c r="R106" s="143" t="s">
        <v>203</v>
      </c>
      <c r="S106" s="96" t="s">
        <v>143</v>
      </c>
      <c r="T106" s="84" t="s">
        <v>82</v>
      </c>
      <c r="U106" s="84"/>
      <c r="V106" s="84" t="str">
        <f t="shared" si="9"/>
        <v>307UNDCCLRSCHERER-NON0.9375ls200000Install Electrical for Decommissioning Work</v>
      </c>
    </row>
    <row r="107" spans="1:22" ht="15" customHeight="1" x14ac:dyDescent="0.25">
      <c r="A107" s="85" t="s">
        <v>115</v>
      </c>
      <c r="B107" s="86" t="s">
        <v>158</v>
      </c>
      <c r="C107" s="101" t="s">
        <v>147</v>
      </c>
      <c r="D107" s="85" t="s">
        <v>67</v>
      </c>
      <c r="E107" s="85" t="s">
        <v>193</v>
      </c>
      <c r="F107" s="99">
        <f>'Scherer Data'!$D$26/4*Q107</f>
        <v>4.2000000000000003E-2</v>
      </c>
      <c r="G107" s="85" t="s">
        <v>42</v>
      </c>
      <c r="H107" s="90">
        <f>'Scherer Data'!$E$26</f>
        <v>550000</v>
      </c>
      <c r="I107" s="116">
        <f>'Scherer Data'!$F$26/4*Q107</f>
        <v>23100</v>
      </c>
      <c r="J107" s="120" t="s">
        <v>176</v>
      </c>
      <c r="K107" s="85" t="s">
        <v>63</v>
      </c>
      <c r="L107" s="85" t="s">
        <v>63</v>
      </c>
      <c r="M107" s="85" t="str">
        <f t="shared" si="10"/>
        <v>Main Power Block - (1) each 1000' Stack (felling)</v>
      </c>
      <c r="N107" s="84">
        <f t="shared" si="7"/>
        <v>550000</v>
      </c>
      <c r="O107" s="87">
        <f t="shared" si="8"/>
        <v>23100</v>
      </c>
      <c r="P107" s="88" t="s">
        <v>73</v>
      </c>
      <c r="Q107" s="147">
        <v>8.4000000000000005E-2</v>
      </c>
      <c r="R107" s="143" t="s">
        <v>203</v>
      </c>
      <c r="S107" s="96" t="s">
        <v>143</v>
      </c>
      <c r="T107" s="84" t="s">
        <v>82</v>
      </c>
      <c r="U107" s="84" t="s">
        <v>99</v>
      </c>
      <c r="V107" s="84" t="str">
        <f t="shared" si="9"/>
        <v>312UND11LRSCHERER-NON0.042ea550000Main Power Block - (1) each 1000' Stack (felling)</v>
      </c>
    </row>
    <row r="108" spans="1:22" ht="15" customHeight="1" x14ac:dyDescent="0.25">
      <c r="A108" s="85" t="s">
        <v>115</v>
      </c>
      <c r="B108" s="86" t="s">
        <v>158</v>
      </c>
      <c r="C108" s="101" t="s">
        <v>148</v>
      </c>
      <c r="D108" s="85" t="s">
        <v>68</v>
      </c>
      <c r="E108" s="85" t="s">
        <v>193</v>
      </c>
      <c r="F108" s="99">
        <f>'Scherer Data'!$D$26/4*Q108</f>
        <v>4.2000000000000003E-2</v>
      </c>
      <c r="G108" s="85" t="s">
        <v>42</v>
      </c>
      <c r="H108" s="90">
        <f>'Scherer Data'!$E$26</f>
        <v>550000</v>
      </c>
      <c r="I108" s="116">
        <f>'Scherer Data'!$F$26/4*Q108</f>
        <v>23100</v>
      </c>
      <c r="J108" s="120" t="s">
        <v>176</v>
      </c>
      <c r="K108" s="85" t="s">
        <v>63</v>
      </c>
      <c r="L108" s="85" t="s">
        <v>63</v>
      </c>
      <c r="M108" s="85" t="str">
        <f t="shared" si="10"/>
        <v>Main Power Block - (1) each 1000' Stack (felling)</v>
      </c>
      <c r="N108" s="84">
        <f t="shared" si="7"/>
        <v>550000</v>
      </c>
      <c r="O108" s="87">
        <f t="shared" si="8"/>
        <v>23100</v>
      </c>
      <c r="P108" s="88" t="s">
        <v>73</v>
      </c>
      <c r="Q108" s="147">
        <v>8.4000000000000005E-2</v>
      </c>
      <c r="R108" s="143" t="s">
        <v>203</v>
      </c>
      <c r="S108" s="96" t="s">
        <v>143</v>
      </c>
      <c r="T108" s="84" t="s">
        <v>82</v>
      </c>
      <c r="U108" s="84" t="s">
        <v>99</v>
      </c>
      <c r="V108" s="84" t="str">
        <f t="shared" si="9"/>
        <v>312UND22LRSCHERER-NON0.042ea550000Main Power Block - (1) each 1000' Stack (felling)</v>
      </c>
    </row>
    <row r="109" spans="1:22" ht="15" customHeight="1" x14ac:dyDescent="0.25">
      <c r="A109" s="85" t="s">
        <v>115</v>
      </c>
      <c r="B109" s="86" t="s">
        <v>158</v>
      </c>
      <c r="C109" s="101" t="s">
        <v>147</v>
      </c>
      <c r="D109" s="85" t="s">
        <v>67</v>
      </c>
      <c r="E109" s="85" t="s">
        <v>193</v>
      </c>
      <c r="F109" s="99">
        <f>'Scherer Data'!$D$26/4*Q109</f>
        <v>0.45800000000000002</v>
      </c>
      <c r="G109" s="85" t="s">
        <v>42</v>
      </c>
      <c r="H109" s="90">
        <f>'Scherer Data'!$E$26</f>
        <v>550000</v>
      </c>
      <c r="I109" s="116">
        <f>'Scherer Data'!$F$26/4*Q109</f>
        <v>251900</v>
      </c>
      <c r="J109" s="120" t="s">
        <v>176</v>
      </c>
      <c r="K109" s="85" t="s">
        <v>63</v>
      </c>
      <c r="L109" s="85" t="s">
        <v>63</v>
      </c>
      <c r="M109" s="85" t="str">
        <f t="shared" si="10"/>
        <v>Main Power Block - (1) each 1000' Stack (felling)</v>
      </c>
      <c r="N109" s="84">
        <f t="shared" si="7"/>
        <v>550000</v>
      </c>
      <c r="O109" s="87">
        <f t="shared" si="8"/>
        <v>251900</v>
      </c>
      <c r="P109" s="88" t="s">
        <v>73</v>
      </c>
      <c r="Q109" s="147">
        <v>0.91600000000000004</v>
      </c>
      <c r="R109" s="143" t="s">
        <v>203</v>
      </c>
      <c r="S109" s="96" t="s">
        <v>143</v>
      </c>
      <c r="T109" s="84" t="s">
        <v>82</v>
      </c>
      <c r="U109" s="84" t="s">
        <v>99</v>
      </c>
      <c r="V109" s="84" t="str">
        <f t="shared" si="9"/>
        <v>312UND11LRSCHERER-NON0.458ea550000Main Power Block - (1) each 1000' Stack (felling)</v>
      </c>
    </row>
    <row r="110" spans="1:22" ht="15" customHeight="1" x14ac:dyDescent="0.25">
      <c r="A110" s="85" t="s">
        <v>115</v>
      </c>
      <c r="B110" s="86" t="s">
        <v>158</v>
      </c>
      <c r="C110" s="101" t="s">
        <v>148</v>
      </c>
      <c r="D110" s="85" t="s">
        <v>68</v>
      </c>
      <c r="E110" s="85" t="s">
        <v>193</v>
      </c>
      <c r="F110" s="99">
        <f>'Scherer Data'!$D$26/4*Q110</f>
        <v>0.45800000000000002</v>
      </c>
      <c r="G110" s="85" t="s">
        <v>42</v>
      </c>
      <c r="H110" s="90">
        <f>'Scherer Data'!$E$26</f>
        <v>550000</v>
      </c>
      <c r="I110" s="116">
        <f>'Scherer Data'!$F$26/4*Q110</f>
        <v>251900</v>
      </c>
      <c r="J110" s="120" t="s">
        <v>176</v>
      </c>
      <c r="K110" s="85" t="s">
        <v>63</v>
      </c>
      <c r="L110" s="85" t="s">
        <v>63</v>
      </c>
      <c r="M110" s="85" t="str">
        <f t="shared" si="10"/>
        <v>Main Power Block - (1) each 1000' Stack (felling)</v>
      </c>
      <c r="N110" s="84">
        <f t="shared" si="7"/>
        <v>550000</v>
      </c>
      <c r="O110" s="87">
        <f t="shared" si="8"/>
        <v>251900</v>
      </c>
      <c r="P110" s="88" t="s">
        <v>73</v>
      </c>
      <c r="Q110" s="147">
        <v>0.91600000000000004</v>
      </c>
      <c r="R110" s="143" t="s">
        <v>203</v>
      </c>
      <c r="S110" s="96" t="s">
        <v>143</v>
      </c>
      <c r="T110" s="84" t="s">
        <v>82</v>
      </c>
      <c r="U110" s="84" t="s">
        <v>99</v>
      </c>
      <c r="V110" s="84" t="str">
        <f t="shared" si="9"/>
        <v>312UND22LRSCHERER-NON0.458ea550000Main Power Block - (1) each 1000' Stack (felling)</v>
      </c>
    </row>
    <row r="111" spans="1:22" ht="15" customHeight="1" x14ac:dyDescent="0.25">
      <c r="A111" s="85" t="s">
        <v>115</v>
      </c>
      <c r="B111" s="86" t="s">
        <v>158</v>
      </c>
      <c r="C111" s="101" t="s">
        <v>149</v>
      </c>
      <c r="D111" s="85" t="s">
        <v>69</v>
      </c>
      <c r="E111" s="85" t="s">
        <v>193</v>
      </c>
      <c r="F111" s="99">
        <f>'Scherer Data'!$D$26/4*Q111</f>
        <v>0.375</v>
      </c>
      <c r="G111" s="85" t="s">
        <v>42</v>
      </c>
      <c r="H111" s="90">
        <f>'Scherer Data'!$E$26</f>
        <v>550000</v>
      </c>
      <c r="I111" s="116">
        <f>'Scherer Data'!$F$26/4*Q111</f>
        <v>206250</v>
      </c>
      <c r="J111" s="120" t="s">
        <v>176</v>
      </c>
      <c r="K111" s="85" t="s">
        <v>63</v>
      </c>
      <c r="L111" s="85" t="s">
        <v>63</v>
      </c>
      <c r="M111" s="85" t="str">
        <f t="shared" si="10"/>
        <v>Main Power Block - (1) each 1000' Stack (felling)</v>
      </c>
      <c r="N111" s="84">
        <f t="shared" si="7"/>
        <v>550000</v>
      </c>
      <c r="O111" s="87">
        <f t="shared" si="8"/>
        <v>206250</v>
      </c>
      <c r="P111" s="88" t="s">
        <v>73</v>
      </c>
      <c r="Q111" s="147">
        <v>0.75</v>
      </c>
      <c r="R111" s="143" t="s">
        <v>203</v>
      </c>
      <c r="S111" s="96" t="s">
        <v>143</v>
      </c>
      <c r="T111" s="84" t="s">
        <v>82</v>
      </c>
      <c r="U111" s="84" t="s">
        <v>99</v>
      </c>
      <c r="V111" s="84" t="str">
        <f t="shared" si="9"/>
        <v>312UND33LRSCHERER-NON0.375ea550000Main Power Block - (1) each 1000' Stack (felling)</v>
      </c>
    </row>
    <row r="112" spans="1:22" ht="15" customHeight="1" x14ac:dyDescent="0.25">
      <c r="A112" s="85" t="s">
        <v>115</v>
      </c>
      <c r="B112" s="86" t="s">
        <v>158</v>
      </c>
      <c r="C112" s="101" t="s">
        <v>150</v>
      </c>
      <c r="D112" s="85" t="s">
        <v>70</v>
      </c>
      <c r="E112" s="85" t="s">
        <v>193</v>
      </c>
      <c r="F112" s="99">
        <f>'Scherer Data'!$D$26/4*Q112</f>
        <v>0.5</v>
      </c>
      <c r="G112" s="85" t="s">
        <v>42</v>
      </c>
      <c r="H112" s="90">
        <f>'Scherer Data'!$E$26</f>
        <v>550000</v>
      </c>
      <c r="I112" s="116">
        <f>'Scherer Data'!$F$26/4*Q112</f>
        <v>275000</v>
      </c>
      <c r="J112" s="120" t="s">
        <v>176</v>
      </c>
      <c r="K112" s="85" t="s">
        <v>63</v>
      </c>
      <c r="L112" s="85" t="s">
        <v>63</v>
      </c>
      <c r="M112" s="85" t="str">
        <f t="shared" si="10"/>
        <v>Main Power Block - (1) each 1000' Stack (felling)</v>
      </c>
      <c r="N112" s="84">
        <f t="shared" si="7"/>
        <v>550000</v>
      </c>
      <c r="O112" s="87">
        <f t="shared" si="8"/>
        <v>275000</v>
      </c>
      <c r="P112" s="88" t="s">
        <v>73</v>
      </c>
      <c r="Q112" s="147">
        <v>1</v>
      </c>
      <c r="R112" s="143" t="s">
        <v>203</v>
      </c>
      <c r="S112" s="96" t="s">
        <v>143</v>
      </c>
      <c r="T112" s="84" t="s">
        <v>82</v>
      </c>
      <c r="U112" s="84" t="s">
        <v>99</v>
      </c>
      <c r="V112" s="84" t="str">
        <f t="shared" si="9"/>
        <v>312UND44LRSCHERER-NON0.5ea550000Main Power Block - (1) each 1000' Stack (felling)</v>
      </c>
    </row>
    <row r="113" spans="1:22" ht="15" customHeight="1" x14ac:dyDescent="0.25">
      <c r="A113" s="85" t="s">
        <v>115</v>
      </c>
      <c r="B113" s="86" t="s">
        <v>158</v>
      </c>
      <c r="C113" s="101" t="s">
        <v>147</v>
      </c>
      <c r="D113" s="85" t="s">
        <v>112</v>
      </c>
      <c r="E113" s="85" t="s">
        <v>193</v>
      </c>
      <c r="F113" s="92">
        <f>'Scherer Data'!$D$20/4*Q113</f>
        <v>17584.560000000001</v>
      </c>
      <c r="G113" s="85" t="s">
        <v>36</v>
      </c>
      <c r="H113" s="91">
        <f>'Scherer Data'!$E$20</f>
        <v>-0.38793301271641789</v>
      </c>
      <c r="I113" s="135">
        <f>'Scherer Data'!$F$20/4*Q113</f>
        <v>-6821.631338092614</v>
      </c>
      <c r="J113" s="85" t="s">
        <v>116</v>
      </c>
      <c r="K113" s="85" t="s">
        <v>117</v>
      </c>
      <c r="L113" s="85" t="s">
        <v>63</v>
      </c>
      <c r="M113" s="85" t="str">
        <f t="shared" si="10"/>
        <v>Main Power Block - AL Sales</v>
      </c>
      <c r="N113" s="84">
        <f t="shared" si="7"/>
        <v>-0.38793301271641789</v>
      </c>
      <c r="O113" s="87">
        <f t="shared" si="8"/>
        <v>-6821.631338092614</v>
      </c>
      <c r="P113" s="88" t="s">
        <v>73</v>
      </c>
      <c r="Q113" s="147">
        <v>8.4000000000000005E-2</v>
      </c>
      <c r="R113" s="143" t="s">
        <v>203</v>
      </c>
      <c r="S113" s="96" t="s">
        <v>145</v>
      </c>
      <c r="T113" s="84" t="s">
        <v>82</v>
      </c>
      <c r="U113" s="84" t="s">
        <v>99</v>
      </c>
      <c r="V113" s="84" t="str">
        <f t="shared" si="9"/>
        <v>312UND11MSSCHERER-NON17584.56lbs-0.387933012716418Main Power Block - AL Sales</v>
      </c>
    </row>
    <row r="114" spans="1:22" ht="15" customHeight="1" x14ac:dyDescent="0.25">
      <c r="A114" s="85" t="s">
        <v>115</v>
      </c>
      <c r="B114" s="86" t="s">
        <v>158</v>
      </c>
      <c r="C114" s="101" t="s">
        <v>148</v>
      </c>
      <c r="D114" s="85" t="s">
        <v>114</v>
      </c>
      <c r="E114" s="85" t="s">
        <v>193</v>
      </c>
      <c r="F114" s="92">
        <f>'Scherer Data'!$D$20/4*Q114</f>
        <v>17584.560000000001</v>
      </c>
      <c r="G114" s="85" t="s">
        <v>36</v>
      </c>
      <c r="H114" s="91">
        <f>'Scherer Data'!$E$20</f>
        <v>-0.38793301271641789</v>
      </c>
      <c r="I114" s="135">
        <f>'Scherer Data'!$F$20/4*Q114</f>
        <v>-6821.631338092614</v>
      </c>
      <c r="J114" s="85" t="s">
        <v>116</v>
      </c>
      <c r="K114" s="85" t="s">
        <v>117</v>
      </c>
      <c r="L114" s="85" t="s">
        <v>63</v>
      </c>
      <c r="M114" s="85" t="str">
        <f t="shared" si="10"/>
        <v>Main Power Block - AL Sales</v>
      </c>
      <c r="N114" s="84">
        <f t="shared" si="7"/>
        <v>-0.38793301271641789</v>
      </c>
      <c r="O114" s="87">
        <f t="shared" si="8"/>
        <v>-6821.631338092614</v>
      </c>
      <c r="P114" s="88" t="s">
        <v>73</v>
      </c>
      <c r="Q114" s="147">
        <v>8.4000000000000005E-2</v>
      </c>
      <c r="R114" s="143" t="s">
        <v>203</v>
      </c>
      <c r="S114" s="96" t="s">
        <v>145</v>
      </c>
      <c r="T114" s="84" t="s">
        <v>82</v>
      </c>
      <c r="U114" s="84" t="s">
        <v>99</v>
      </c>
      <c r="V114" s="84" t="str">
        <f t="shared" si="9"/>
        <v>312UND22MSSCHERER-NON17584.56lbs-0.387933012716418Main Power Block - AL Sales</v>
      </c>
    </row>
    <row r="115" spans="1:22" ht="15" customHeight="1" x14ac:dyDescent="0.25">
      <c r="A115" s="85" t="s">
        <v>115</v>
      </c>
      <c r="B115" s="86" t="s">
        <v>158</v>
      </c>
      <c r="C115" s="101" t="s">
        <v>147</v>
      </c>
      <c r="D115" s="85" t="s">
        <v>112</v>
      </c>
      <c r="E115" s="85" t="s">
        <v>193</v>
      </c>
      <c r="F115" s="92">
        <f>'Scherer Data'!$D$20/4*Q115</f>
        <v>191755.44</v>
      </c>
      <c r="G115" s="85" t="s">
        <v>36</v>
      </c>
      <c r="H115" s="91">
        <f>'Scherer Data'!$E$20</f>
        <v>-0.38793301271641789</v>
      </c>
      <c r="I115" s="135">
        <f>'Scherer Data'!$F$20/4*Q115</f>
        <v>-74388.265543962305</v>
      </c>
      <c r="J115" s="85" t="s">
        <v>116</v>
      </c>
      <c r="K115" s="85" t="s">
        <v>117</v>
      </c>
      <c r="L115" s="85" t="s">
        <v>63</v>
      </c>
      <c r="M115" s="85" t="str">
        <f t="shared" si="10"/>
        <v>Main Power Block - AL Sales</v>
      </c>
      <c r="N115" s="84">
        <f t="shared" si="7"/>
        <v>-0.38793301271641789</v>
      </c>
      <c r="O115" s="87">
        <f t="shared" si="8"/>
        <v>-74388.265543962305</v>
      </c>
      <c r="P115" s="88" t="s">
        <v>73</v>
      </c>
      <c r="Q115" s="147">
        <v>0.91600000000000004</v>
      </c>
      <c r="R115" s="143" t="s">
        <v>203</v>
      </c>
      <c r="S115" s="96" t="s">
        <v>145</v>
      </c>
      <c r="T115" s="84" t="s">
        <v>82</v>
      </c>
      <c r="U115" s="84" t="s">
        <v>99</v>
      </c>
      <c r="V115" s="84" t="str">
        <f t="shared" si="9"/>
        <v>312UND11MSSCHERER-NON191755.44lbs-0.387933012716418Main Power Block - AL Sales</v>
      </c>
    </row>
    <row r="116" spans="1:22" ht="15" customHeight="1" x14ac:dyDescent="0.25">
      <c r="A116" s="85" t="s">
        <v>115</v>
      </c>
      <c r="B116" s="86" t="s">
        <v>158</v>
      </c>
      <c r="C116" s="101" t="s">
        <v>148</v>
      </c>
      <c r="D116" s="85" t="s">
        <v>114</v>
      </c>
      <c r="E116" s="85" t="s">
        <v>193</v>
      </c>
      <c r="F116" s="92">
        <f>'Scherer Data'!$D$20/4*Q116</f>
        <v>191755.44</v>
      </c>
      <c r="G116" s="85" t="s">
        <v>36</v>
      </c>
      <c r="H116" s="91">
        <f>'Scherer Data'!$E$20</f>
        <v>-0.38793301271641789</v>
      </c>
      <c r="I116" s="135">
        <f>'Scherer Data'!$F$20/4*Q116</f>
        <v>-74388.265543962305</v>
      </c>
      <c r="J116" s="85" t="s">
        <v>116</v>
      </c>
      <c r="K116" s="85" t="s">
        <v>117</v>
      </c>
      <c r="L116" s="85" t="s">
        <v>63</v>
      </c>
      <c r="M116" s="85" t="str">
        <f t="shared" si="10"/>
        <v>Main Power Block - AL Sales</v>
      </c>
      <c r="N116" s="84">
        <f t="shared" si="7"/>
        <v>-0.38793301271641789</v>
      </c>
      <c r="O116" s="87">
        <f t="shared" si="8"/>
        <v>-74388.265543962305</v>
      </c>
      <c r="P116" s="88" t="s">
        <v>73</v>
      </c>
      <c r="Q116" s="147">
        <v>0.91600000000000004</v>
      </c>
      <c r="R116" s="143" t="s">
        <v>203</v>
      </c>
      <c r="S116" s="96" t="s">
        <v>145</v>
      </c>
      <c r="T116" s="84" t="s">
        <v>82</v>
      </c>
      <c r="U116" s="84" t="s">
        <v>99</v>
      </c>
      <c r="V116" s="84" t="str">
        <f t="shared" si="9"/>
        <v>312UND22MSSCHERER-NON191755.44lbs-0.387933012716418Main Power Block - AL Sales</v>
      </c>
    </row>
    <row r="117" spans="1:22" ht="15" customHeight="1" x14ac:dyDescent="0.25">
      <c r="A117" s="85" t="s">
        <v>115</v>
      </c>
      <c r="B117" s="86" t="s">
        <v>158</v>
      </c>
      <c r="C117" s="101" t="s">
        <v>149</v>
      </c>
      <c r="D117" s="85" t="s">
        <v>133</v>
      </c>
      <c r="E117" s="85" t="s">
        <v>193</v>
      </c>
      <c r="F117" s="92">
        <f>'Scherer Data'!$D$20/4*Q117</f>
        <v>157005</v>
      </c>
      <c r="G117" s="85" t="s">
        <v>36</v>
      </c>
      <c r="H117" s="91">
        <f>'Scherer Data'!$E$20</f>
        <v>-0.38793301271641789</v>
      </c>
      <c r="I117" s="135">
        <f>'Scherer Data'!$F$20/4*Q117</f>
        <v>-60907.42266154119</v>
      </c>
      <c r="J117" s="85" t="s">
        <v>116</v>
      </c>
      <c r="K117" s="85" t="s">
        <v>117</v>
      </c>
      <c r="L117" s="85" t="s">
        <v>63</v>
      </c>
      <c r="M117" s="85" t="str">
        <f t="shared" si="10"/>
        <v>Main Power Block - AL Sales</v>
      </c>
      <c r="N117" s="84">
        <f t="shared" si="7"/>
        <v>-0.38793301271641789</v>
      </c>
      <c r="O117" s="87">
        <f t="shared" si="8"/>
        <v>-60907.42266154119</v>
      </c>
      <c r="P117" s="88" t="s">
        <v>73</v>
      </c>
      <c r="Q117" s="147">
        <v>0.75</v>
      </c>
      <c r="R117" s="143" t="s">
        <v>203</v>
      </c>
      <c r="S117" s="96" t="s">
        <v>145</v>
      </c>
      <c r="T117" s="84" t="s">
        <v>82</v>
      </c>
      <c r="U117" s="84" t="s">
        <v>99</v>
      </c>
      <c r="V117" s="84" t="str">
        <f t="shared" si="9"/>
        <v>312UND33MSSCHERER-NON157005lbs-0.387933012716418Main Power Block - AL Sales</v>
      </c>
    </row>
    <row r="118" spans="1:22" ht="15" customHeight="1" x14ac:dyDescent="0.25">
      <c r="A118" s="85" t="s">
        <v>115</v>
      </c>
      <c r="B118" s="86" t="s">
        <v>158</v>
      </c>
      <c r="C118" s="101" t="s">
        <v>150</v>
      </c>
      <c r="D118" s="85" t="s">
        <v>134</v>
      </c>
      <c r="E118" s="85" t="s">
        <v>193</v>
      </c>
      <c r="F118" s="92">
        <f>'Scherer Data'!$D$20/4*Q118</f>
        <v>209340</v>
      </c>
      <c r="G118" s="85" t="s">
        <v>36</v>
      </c>
      <c r="H118" s="91">
        <f>'Scherer Data'!$E$20</f>
        <v>-0.38793301271641789</v>
      </c>
      <c r="I118" s="135">
        <f>'Scherer Data'!$F$20/4*Q118</f>
        <v>-81209.89688205492</v>
      </c>
      <c r="J118" s="85" t="s">
        <v>116</v>
      </c>
      <c r="K118" s="85" t="s">
        <v>117</v>
      </c>
      <c r="L118" s="85" t="s">
        <v>63</v>
      </c>
      <c r="M118" s="85" t="str">
        <f t="shared" si="10"/>
        <v>Main Power Block - AL Sales</v>
      </c>
      <c r="N118" s="84">
        <f t="shared" si="7"/>
        <v>-0.38793301271641789</v>
      </c>
      <c r="O118" s="87">
        <f t="shared" si="8"/>
        <v>-81209.89688205492</v>
      </c>
      <c r="P118" s="88" t="s">
        <v>73</v>
      </c>
      <c r="Q118" s="147">
        <v>1</v>
      </c>
      <c r="R118" s="143" t="s">
        <v>203</v>
      </c>
      <c r="S118" s="96" t="s">
        <v>145</v>
      </c>
      <c r="T118" s="84" t="s">
        <v>82</v>
      </c>
      <c r="U118" s="84" t="s">
        <v>99</v>
      </c>
      <c r="V118" s="84" t="str">
        <f t="shared" si="9"/>
        <v>312UND44MSSCHERER-NON209340lbs-0.387933012716418Main Power Block - AL Sales</v>
      </c>
    </row>
    <row r="119" spans="1:22" ht="15" customHeight="1" x14ac:dyDescent="0.25">
      <c r="A119" s="85" t="s">
        <v>125</v>
      </c>
      <c r="B119" s="86" t="s">
        <v>159</v>
      </c>
      <c r="C119" s="101" t="s">
        <v>147</v>
      </c>
      <c r="D119" s="85" t="s">
        <v>112</v>
      </c>
      <c r="E119" s="85" t="s">
        <v>193</v>
      </c>
      <c r="F119" s="92">
        <f>'Scherer Data'!$D$24/4*Q119</f>
        <v>69174</v>
      </c>
      <c r="G119" s="85" t="s">
        <v>36</v>
      </c>
      <c r="H119" s="91">
        <f>'Scherer Data'!$E$24</f>
        <v>-1.5206066633165829</v>
      </c>
      <c r="I119" s="116">
        <f>'Scherer Data'!$F$24/4*Q119</f>
        <v>-105186.44532826132</v>
      </c>
      <c r="J119" s="120" t="s">
        <v>175</v>
      </c>
      <c r="K119" s="85" t="s">
        <v>236</v>
      </c>
      <c r="L119" s="85" t="s">
        <v>63</v>
      </c>
      <c r="M119" s="85" t="str">
        <f t="shared" si="10"/>
        <v>Main Power Block - Condenser Tubes (90-10 CU-NI)</v>
      </c>
      <c r="N119" s="84">
        <f t="shared" si="7"/>
        <v>-1.5206066633165829</v>
      </c>
      <c r="O119" s="87">
        <f t="shared" si="8"/>
        <v>-105186.44532826132</v>
      </c>
      <c r="P119" s="88" t="s">
        <v>73</v>
      </c>
      <c r="Q119" s="147">
        <v>8.4000000000000005E-2</v>
      </c>
      <c r="R119" s="143" t="s">
        <v>203</v>
      </c>
      <c r="S119" s="96" t="s">
        <v>145</v>
      </c>
      <c r="T119" s="84" t="s">
        <v>82</v>
      </c>
      <c r="U119" s="84" t="s">
        <v>99</v>
      </c>
      <c r="V119" s="84" t="str">
        <f t="shared" si="9"/>
        <v>314UND11MSSCHERER-NON69174lbs-1.52060666331658Main Power Block - Condenser Tubes (90-10 CU-NI)</v>
      </c>
    </row>
    <row r="120" spans="1:22" ht="15" customHeight="1" x14ac:dyDescent="0.25">
      <c r="A120" s="85" t="s">
        <v>125</v>
      </c>
      <c r="B120" s="86" t="s">
        <v>159</v>
      </c>
      <c r="C120" s="101" t="s">
        <v>148</v>
      </c>
      <c r="D120" s="85" t="s">
        <v>114</v>
      </c>
      <c r="E120" s="85" t="s">
        <v>193</v>
      </c>
      <c r="F120" s="92">
        <f>'Scherer Data'!$D$24/4*Q120</f>
        <v>69174</v>
      </c>
      <c r="G120" s="85" t="s">
        <v>36</v>
      </c>
      <c r="H120" s="91">
        <f>'Scherer Data'!$E$24</f>
        <v>-1.5206066633165829</v>
      </c>
      <c r="I120" s="116">
        <f>'Scherer Data'!$F$24/4*Q120</f>
        <v>-105186.44532826132</v>
      </c>
      <c r="J120" s="120" t="s">
        <v>175</v>
      </c>
      <c r="K120" s="85" t="s">
        <v>236</v>
      </c>
      <c r="L120" s="85" t="s">
        <v>63</v>
      </c>
      <c r="M120" s="85" t="str">
        <f t="shared" ref="M120:M151" si="11">J120</f>
        <v>Main Power Block - Condenser Tubes (90-10 CU-NI)</v>
      </c>
      <c r="N120" s="84">
        <f t="shared" si="7"/>
        <v>-1.5206066633165829</v>
      </c>
      <c r="O120" s="87">
        <f t="shared" si="8"/>
        <v>-105186.44532826132</v>
      </c>
      <c r="P120" s="88" t="s">
        <v>73</v>
      </c>
      <c r="Q120" s="147">
        <v>8.4000000000000005E-2</v>
      </c>
      <c r="R120" s="143" t="s">
        <v>203</v>
      </c>
      <c r="S120" s="96" t="s">
        <v>145</v>
      </c>
      <c r="T120" s="84" t="s">
        <v>82</v>
      </c>
      <c r="U120" s="84" t="s">
        <v>99</v>
      </c>
      <c r="V120" s="84" t="str">
        <f t="shared" si="9"/>
        <v>314UND22MSSCHERER-NON69174lbs-1.52060666331658Main Power Block - Condenser Tubes (90-10 CU-NI)</v>
      </c>
    </row>
    <row r="121" spans="1:22" ht="15" customHeight="1" x14ac:dyDescent="0.25">
      <c r="A121" s="85" t="s">
        <v>125</v>
      </c>
      <c r="B121" s="86" t="s">
        <v>159</v>
      </c>
      <c r="C121" s="101" t="s">
        <v>147</v>
      </c>
      <c r="D121" s="85" t="s">
        <v>112</v>
      </c>
      <c r="E121" s="85" t="s">
        <v>193</v>
      </c>
      <c r="F121" s="92">
        <f>'Scherer Data'!$D$24/4*Q121</f>
        <v>754326</v>
      </c>
      <c r="G121" s="85" t="s">
        <v>36</v>
      </c>
      <c r="H121" s="91">
        <f>'Scherer Data'!$E$24</f>
        <v>-1.5206066633165829</v>
      </c>
      <c r="I121" s="116">
        <f>'Scherer Data'!$F$24/4*Q121</f>
        <v>-1147033.1419129448</v>
      </c>
      <c r="J121" s="120" t="s">
        <v>175</v>
      </c>
      <c r="K121" s="85" t="s">
        <v>236</v>
      </c>
      <c r="L121" s="85" t="s">
        <v>63</v>
      </c>
      <c r="M121" s="85" t="str">
        <f t="shared" si="11"/>
        <v>Main Power Block - Condenser Tubes (90-10 CU-NI)</v>
      </c>
      <c r="N121" s="84">
        <f t="shared" si="7"/>
        <v>-1.5206066633165829</v>
      </c>
      <c r="O121" s="87">
        <f t="shared" si="8"/>
        <v>-1147033.1419129448</v>
      </c>
      <c r="P121" s="88" t="s">
        <v>73</v>
      </c>
      <c r="Q121" s="147">
        <v>0.91600000000000004</v>
      </c>
      <c r="R121" s="143" t="s">
        <v>203</v>
      </c>
      <c r="S121" s="96" t="s">
        <v>145</v>
      </c>
      <c r="T121" s="84" t="s">
        <v>82</v>
      </c>
      <c r="U121" s="84" t="s">
        <v>99</v>
      </c>
      <c r="V121" s="84" t="str">
        <f t="shared" si="9"/>
        <v>314UND11MSSCHERER-NON754326lbs-1.52060666331658Main Power Block - Condenser Tubes (90-10 CU-NI)</v>
      </c>
    </row>
    <row r="122" spans="1:22" ht="15" customHeight="1" x14ac:dyDescent="0.25">
      <c r="A122" s="85" t="s">
        <v>125</v>
      </c>
      <c r="B122" s="86" t="s">
        <v>159</v>
      </c>
      <c r="C122" s="101" t="s">
        <v>148</v>
      </c>
      <c r="D122" s="85" t="s">
        <v>114</v>
      </c>
      <c r="E122" s="85" t="s">
        <v>193</v>
      </c>
      <c r="F122" s="92">
        <f>'Scherer Data'!$D$24/4*Q122</f>
        <v>754326</v>
      </c>
      <c r="G122" s="85" t="s">
        <v>36</v>
      </c>
      <c r="H122" s="91">
        <f>'Scherer Data'!$E$24</f>
        <v>-1.5206066633165829</v>
      </c>
      <c r="I122" s="116">
        <f>'Scherer Data'!$F$24/4*Q122</f>
        <v>-1147033.1419129448</v>
      </c>
      <c r="J122" s="120" t="s">
        <v>175</v>
      </c>
      <c r="K122" s="85" t="s">
        <v>236</v>
      </c>
      <c r="L122" s="85" t="s">
        <v>63</v>
      </c>
      <c r="M122" s="85" t="str">
        <f t="shared" si="11"/>
        <v>Main Power Block - Condenser Tubes (90-10 CU-NI)</v>
      </c>
      <c r="N122" s="84">
        <f t="shared" si="7"/>
        <v>-1.5206066633165829</v>
      </c>
      <c r="O122" s="87">
        <f t="shared" si="8"/>
        <v>-1147033.1419129448</v>
      </c>
      <c r="P122" s="88" t="s">
        <v>73</v>
      </c>
      <c r="Q122" s="147">
        <v>0.91600000000000004</v>
      </c>
      <c r="R122" s="143" t="s">
        <v>203</v>
      </c>
      <c r="S122" s="96" t="s">
        <v>145</v>
      </c>
      <c r="T122" s="84" t="s">
        <v>82</v>
      </c>
      <c r="U122" s="84" t="s">
        <v>99</v>
      </c>
      <c r="V122" s="84" t="str">
        <f t="shared" si="9"/>
        <v>314UND22MSSCHERER-NON754326lbs-1.52060666331658Main Power Block - Condenser Tubes (90-10 CU-NI)</v>
      </c>
    </row>
    <row r="123" spans="1:22" ht="15" customHeight="1" x14ac:dyDescent="0.25">
      <c r="A123" s="85" t="s">
        <v>125</v>
      </c>
      <c r="B123" s="86" t="s">
        <v>159</v>
      </c>
      <c r="C123" s="101" t="s">
        <v>149</v>
      </c>
      <c r="D123" s="85" t="s">
        <v>133</v>
      </c>
      <c r="E123" s="85" t="s">
        <v>193</v>
      </c>
      <c r="F123" s="92">
        <f>'Scherer Data'!$D$24/4*Q123</f>
        <v>617625</v>
      </c>
      <c r="G123" s="85" t="s">
        <v>36</v>
      </c>
      <c r="H123" s="91">
        <f>'Scherer Data'!$E$24</f>
        <v>-1.5206066633165829</v>
      </c>
      <c r="I123" s="116">
        <f>'Scherer Data'!$F$24/4*Q123</f>
        <v>-939164.69043090451</v>
      </c>
      <c r="J123" s="120" t="s">
        <v>175</v>
      </c>
      <c r="K123" s="85" t="s">
        <v>236</v>
      </c>
      <c r="L123" s="85" t="s">
        <v>63</v>
      </c>
      <c r="M123" s="85" t="str">
        <f t="shared" si="11"/>
        <v>Main Power Block - Condenser Tubes (90-10 CU-NI)</v>
      </c>
      <c r="N123" s="84">
        <f t="shared" si="7"/>
        <v>-1.5206066633165829</v>
      </c>
      <c r="O123" s="87">
        <f t="shared" si="8"/>
        <v>-939164.69043090451</v>
      </c>
      <c r="P123" s="88" t="s">
        <v>73</v>
      </c>
      <c r="Q123" s="147">
        <v>0.75</v>
      </c>
      <c r="R123" s="143" t="s">
        <v>203</v>
      </c>
      <c r="S123" s="96" t="s">
        <v>145</v>
      </c>
      <c r="T123" s="84" t="s">
        <v>82</v>
      </c>
      <c r="U123" s="84" t="s">
        <v>99</v>
      </c>
      <c r="V123" s="84" t="str">
        <f t="shared" si="9"/>
        <v>314UND33MSSCHERER-NON617625lbs-1.52060666331658Main Power Block - Condenser Tubes (90-10 CU-NI)</v>
      </c>
    </row>
    <row r="124" spans="1:22" ht="15" customHeight="1" x14ac:dyDescent="0.25">
      <c r="A124" s="85" t="s">
        <v>125</v>
      </c>
      <c r="B124" s="86" t="s">
        <v>159</v>
      </c>
      <c r="C124" s="101" t="s">
        <v>150</v>
      </c>
      <c r="D124" s="85" t="s">
        <v>134</v>
      </c>
      <c r="E124" s="85" t="s">
        <v>193</v>
      </c>
      <c r="F124" s="92">
        <f>'Scherer Data'!$D$24/4*Q124</f>
        <v>823500</v>
      </c>
      <c r="G124" s="85" t="s">
        <v>36</v>
      </c>
      <c r="H124" s="91">
        <f>'Scherer Data'!$E$24</f>
        <v>-1.5206066633165829</v>
      </c>
      <c r="I124" s="116">
        <f>'Scherer Data'!$F$24/4*Q124</f>
        <v>-1252219.5872412061</v>
      </c>
      <c r="J124" s="120" t="s">
        <v>175</v>
      </c>
      <c r="K124" s="85" t="s">
        <v>236</v>
      </c>
      <c r="L124" s="85" t="s">
        <v>63</v>
      </c>
      <c r="M124" s="85" t="str">
        <f t="shared" si="11"/>
        <v>Main Power Block - Condenser Tubes (90-10 CU-NI)</v>
      </c>
      <c r="N124" s="84">
        <f t="shared" si="7"/>
        <v>-1.5206066633165829</v>
      </c>
      <c r="O124" s="87">
        <f t="shared" si="8"/>
        <v>-1252219.5872412061</v>
      </c>
      <c r="P124" s="88" t="s">
        <v>73</v>
      </c>
      <c r="Q124" s="147">
        <v>1</v>
      </c>
      <c r="R124" s="143" t="s">
        <v>203</v>
      </c>
      <c r="S124" s="96" t="s">
        <v>145</v>
      </c>
      <c r="T124" s="84" t="s">
        <v>82</v>
      </c>
      <c r="U124" s="84" t="s">
        <v>99</v>
      </c>
      <c r="V124" s="84" t="str">
        <f t="shared" si="9"/>
        <v>314UND44MSSCHERER-NON823500lbs-1.52060666331658Main Power Block - Condenser Tubes (90-10 CU-NI)</v>
      </c>
    </row>
    <row r="125" spans="1:22" ht="15" customHeight="1" x14ac:dyDescent="0.25">
      <c r="A125" s="85" t="s">
        <v>115</v>
      </c>
      <c r="B125" s="86" t="s">
        <v>158</v>
      </c>
      <c r="C125" s="101" t="s">
        <v>147</v>
      </c>
      <c r="D125" s="85" t="s">
        <v>112</v>
      </c>
      <c r="E125" s="85" t="s">
        <v>193</v>
      </c>
      <c r="F125" s="92">
        <f>'Scherer Data'!$D$21/4*0.2*Q125</f>
        <v>33215.279999999999</v>
      </c>
      <c r="G125" s="85" t="s">
        <v>36</v>
      </c>
      <c r="H125" s="91">
        <f>'Scherer Data'!$E$21</f>
        <v>-0.31414430979039298</v>
      </c>
      <c r="I125" s="135">
        <f>'Scherer Data'!$F$21/4*0.2*Q125</f>
        <v>-10434.391210094645</v>
      </c>
      <c r="J125" s="85" t="s">
        <v>118</v>
      </c>
      <c r="K125" s="85" t="s">
        <v>119</v>
      </c>
      <c r="L125" s="85" t="s">
        <v>63</v>
      </c>
      <c r="M125" s="85" t="str">
        <f t="shared" si="11"/>
        <v>Main Power Block - CU Sales</v>
      </c>
      <c r="N125" s="84">
        <f t="shared" si="7"/>
        <v>-0.31414430979039298</v>
      </c>
      <c r="O125" s="87">
        <f t="shared" si="8"/>
        <v>-10434.391210094645</v>
      </c>
      <c r="P125" s="88" t="s">
        <v>73</v>
      </c>
      <c r="Q125" s="147">
        <v>8.4000000000000005E-2</v>
      </c>
      <c r="R125" s="143" t="s">
        <v>203</v>
      </c>
      <c r="S125" s="96" t="s">
        <v>145</v>
      </c>
      <c r="T125" s="84" t="s">
        <v>82</v>
      </c>
      <c r="U125" s="84" t="s">
        <v>99</v>
      </c>
      <c r="V125" s="84" t="str">
        <f t="shared" si="9"/>
        <v>312UND11MSSCHERER-NON33215.28lbs-0.314144309790393Main Power Block - CU Sales</v>
      </c>
    </row>
    <row r="126" spans="1:22" ht="15" customHeight="1" x14ac:dyDescent="0.25">
      <c r="A126" s="85" t="s">
        <v>127</v>
      </c>
      <c r="B126" s="86" t="s">
        <v>160</v>
      </c>
      <c r="C126" s="101" t="s">
        <v>147</v>
      </c>
      <c r="D126" s="85" t="s">
        <v>112</v>
      </c>
      <c r="E126" s="85" t="s">
        <v>193</v>
      </c>
      <c r="F126" s="92">
        <f>'Scherer Data'!$D$21/4*0.8*Q126</f>
        <v>132861.12</v>
      </c>
      <c r="G126" s="85" t="s">
        <v>36</v>
      </c>
      <c r="H126" s="91">
        <f>'Scherer Data'!$E$21</f>
        <v>-0.31414430979039298</v>
      </c>
      <c r="I126" s="135">
        <f>'Scherer Data'!$F$21/4*0.8*Q126</f>
        <v>-41737.564840378582</v>
      </c>
      <c r="J126" s="85" t="s">
        <v>118</v>
      </c>
      <c r="K126" s="85" t="s">
        <v>119</v>
      </c>
      <c r="L126" s="85" t="s">
        <v>63</v>
      </c>
      <c r="M126" s="85" t="str">
        <f t="shared" si="11"/>
        <v>Main Power Block - CU Sales</v>
      </c>
      <c r="N126" s="84">
        <f t="shared" si="7"/>
        <v>-0.31414430979039298</v>
      </c>
      <c r="O126" s="87">
        <f t="shared" si="8"/>
        <v>-41737.564840378582</v>
      </c>
      <c r="P126" s="88" t="s">
        <v>73</v>
      </c>
      <c r="Q126" s="147">
        <v>8.4000000000000005E-2</v>
      </c>
      <c r="R126" s="143" t="s">
        <v>203</v>
      </c>
      <c r="S126" s="96" t="s">
        <v>145</v>
      </c>
      <c r="T126" s="84" t="s">
        <v>82</v>
      </c>
      <c r="U126" s="84" t="s">
        <v>99</v>
      </c>
      <c r="V126" s="84" t="str">
        <f t="shared" si="9"/>
        <v>315UND11MSSCHERER-NON132861.12lbs-0.314144309790393Main Power Block - CU Sales</v>
      </c>
    </row>
    <row r="127" spans="1:22" ht="15" customHeight="1" x14ac:dyDescent="0.25">
      <c r="A127" s="85" t="s">
        <v>115</v>
      </c>
      <c r="B127" s="86" t="s">
        <v>158</v>
      </c>
      <c r="C127" s="101" t="s">
        <v>148</v>
      </c>
      <c r="D127" s="85" t="s">
        <v>114</v>
      </c>
      <c r="E127" s="85" t="s">
        <v>193</v>
      </c>
      <c r="F127" s="92">
        <f>'Scherer Data'!$D$21/4*0.2*Q127</f>
        <v>33215.279999999999</v>
      </c>
      <c r="G127" s="85" t="s">
        <v>36</v>
      </c>
      <c r="H127" s="91">
        <f>'Scherer Data'!$E$21</f>
        <v>-0.31414430979039298</v>
      </c>
      <c r="I127" s="135">
        <f>'Scherer Data'!$F$21/4*0.2*Q127</f>
        <v>-10434.391210094645</v>
      </c>
      <c r="J127" s="85" t="s">
        <v>118</v>
      </c>
      <c r="K127" s="85" t="s">
        <v>119</v>
      </c>
      <c r="L127" s="85" t="s">
        <v>63</v>
      </c>
      <c r="M127" s="85" t="str">
        <f t="shared" si="11"/>
        <v>Main Power Block - CU Sales</v>
      </c>
      <c r="N127" s="84">
        <f t="shared" si="7"/>
        <v>-0.31414430979039298</v>
      </c>
      <c r="O127" s="87">
        <f t="shared" si="8"/>
        <v>-10434.391210094645</v>
      </c>
      <c r="P127" s="88" t="s">
        <v>73</v>
      </c>
      <c r="Q127" s="147">
        <v>8.4000000000000005E-2</v>
      </c>
      <c r="R127" s="143" t="s">
        <v>203</v>
      </c>
      <c r="S127" s="96" t="s">
        <v>145</v>
      </c>
      <c r="T127" s="84" t="s">
        <v>82</v>
      </c>
      <c r="U127" s="84" t="s">
        <v>99</v>
      </c>
      <c r="V127" s="84" t="str">
        <f t="shared" si="9"/>
        <v>312UND22MSSCHERER-NON33215.28lbs-0.314144309790393Main Power Block - CU Sales</v>
      </c>
    </row>
    <row r="128" spans="1:22" ht="15" customHeight="1" x14ac:dyDescent="0.25">
      <c r="A128" s="85" t="s">
        <v>127</v>
      </c>
      <c r="B128" s="86" t="s">
        <v>160</v>
      </c>
      <c r="C128" s="101" t="s">
        <v>148</v>
      </c>
      <c r="D128" s="85" t="s">
        <v>114</v>
      </c>
      <c r="E128" s="85" t="s">
        <v>193</v>
      </c>
      <c r="F128" s="92">
        <f>'Scherer Data'!$D$21/4*0.8*Q128</f>
        <v>132861.12</v>
      </c>
      <c r="G128" s="85" t="s">
        <v>36</v>
      </c>
      <c r="H128" s="91">
        <f>'Scherer Data'!$E$21</f>
        <v>-0.31414430979039298</v>
      </c>
      <c r="I128" s="135">
        <f>'Scherer Data'!$F$21/4*0.8*Q128</f>
        <v>-41737.564840378582</v>
      </c>
      <c r="J128" s="85" t="s">
        <v>118</v>
      </c>
      <c r="K128" s="85" t="s">
        <v>119</v>
      </c>
      <c r="L128" s="85" t="s">
        <v>63</v>
      </c>
      <c r="M128" s="85" t="str">
        <f t="shared" si="11"/>
        <v>Main Power Block - CU Sales</v>
      </c>
      <c r="N128" s="84">
        <f t="shared" si="7"/>
        <v>-0.31414430979039298</v>
      </c>
      <c r="O128" s="87">
        <f t="shared" si="8"/>
        <v>-41737.564840378582</v>
      </c>
      <c r="P128" s="88" t="s">
        <v>73</v>
      </c>
      <c r="Q128" s="147">
        <v>8.4000000000000005E-2</v>
      </c>
      <c r="R128" s="143" t="s">
        <v>203</v>
      </c>
      <c r="S128" s="96" t="s">
        <v>145</v>
      </c>
      <c r="T128" s="84" t="s">
        <v>82</v>
      </c>
      <c r="U128" s="84" t="s">
        <v>99</v>
      </c>
      <c r="V128" s="84" t="str">
        <f t="shared" si="9"/>
        <v>315UND22MSSCHERER-NON132861.12lbs-0.314144309790393Main Power Block - CU Sales</v>
      </c>
    </row>
    <row r="129" spans="1:22" ht="15" customHeight="1" x14ac:dyDescent="0.25">
      <c r="A129" s="85" t="s">
        <v>115</v>
      </c>
      <c r="B129" s="86" t="s">
        <v>158</v>
      </c>
      <c r="C129" s="101" t="s">
        <v>147</v>
      </c>
      <c r="D129" s="85" t="s">
        <v>112</v>
      </c>
      <c r="E129" s="85" t="s">
        <v>193</v>
      </c>
      <c r="F129" s="92">
        <f>'Scherer Data'!$D$21/4*0.2*Q129</f>
        <v>362204.72000000003</v>
      </c>
      <c r="G129" s="85" t="s">
        <v>36</v>
      </c>
      <c r="H129" s="91">
        <f>'Scherer Data'!$E$21</f>
        <v>-0.31414430979039298</v>
      </c>
      <c r="I129" s="135">
        <f>'Scherer Data'!$F$21/4*0.2*Q129</f>
        <v>-113784.55176722255</v>
      </c>
      <c r="J129" s="85" t="s">
        <v>118</v>
      </c>
      <c r="K129" s="85" t="s">
        <v>119</v>
      </c>
      <c r="L129" s="85" t="s">
        <v>63</v>
      </c>
      <c r="M129" s="85" t="str">
        <f t="shared" si="11"/>
        <v>Main Power Block - CU Sales</v>
      </c>
      <c r="N129" s="84">
        <f t="shared" si="7"/>
        <v>-0.31414430979039298</v>
      </c>
      <c r="O129" s="87">
        <f t="shared" si="8"/>
        <v>-113784.55176722255</v>
      </c>
      <c r="P129" s="88" t="s">
        <v>73</v>
      </c>
      <c r="Q129" s="147">
        <v>0.91600000000000004</v>
      </c>
      <c r="R129" s="143" t="s">
        <v>203</v>
      </c>
      <c r="S129" s="96" t="s">
        <v>145</v>
      </c>
      <c r="T129" s="84" t="s">
        <v>82</v>
      </c>
      <c r="U129" s="84" t="s">
        <v>99</v>
      </c>
      <c r="V129" s="84" t="str">
        <f t="shared" si="9"/>
        <v>312UND11MSSCHERER-NON362204.72lbs-0.314144309790393Main Power Block - CU Sales</v>
      </c>
    </row>
    <row r="130" spans="1:22" ht="15" customHeight="1" x14ac:dyDescent="0.25">
      <c r="A130" s="85" t="s">
        <v>127</v>
      </c>
      <c r="B130" s="86" t="s">
        <v>160</v>
      </c>
      <c r="C130" s="101" t="s">
        <v>147</v>
      </c>
      <c r="D130" s="85" t="s">
        <v>112</v>
      </c>
      <c r="E130" s="85" t="s">
        <v>193</v>
      </c>
      <c r="F130" s="92">
        <f>'Scherer Data'!$D$21/4*0.8*Q130</f>
        <v>1448818.8800000001</v>
      </c>
      <c r="G130" s="85" t="s">
        <v>36</v>
      </c>
      <c r="H130" s="91">
        <f>'Scherer Data'!$E$21</f>
        <v>-0.31414430979039298</v>
      </c>
      <c r="I130" s="135">
        <f>'Scherer Data'!$F$21/4*0.8*Q130</f>
        <v>-455138.20706889022</v>
      </c>
      <c r="J130" s="85" t="s">
        <v>118</v>
      </c>
      <c r="K130" s="85" t="s">
        <v>119</v>
      </c>
      <c r="L130" s="85" t="s">
        <v>63</v>
      </c>
      <c r="M130" s="85" t="str">
        <f t="shared" si="11"/>
        <v>Main Power Block - CU Sales</v>
      </c>
      <c r="N130" s="84">
        <f t="shared" si="7"/>
        <v>-0.31414430979039298</v>
      </c>
      <c r="O130" s="87">
        <f t="shared" si="8"/>
        <v>-455138.20706889022</v>
      </c>
      <c r="P130" s="88" t="s">
        <v>73</v>
      </c>
      <c r="Q130" s="147">
        <v>0.91600000000000004</v>
      </c>
      <c r="R130" s="143" t="s">
        <v>203</v>
      </c>
      <c r="S130" s="96" t="s">
        <v>145</v>
      </c>
      <c r="T130" s="84" t="s">
        <v>82</v>
      </c>
      <c r="U130" s="84" t="s">
        <v>99</v>
      </c>
      <c r="V130" s="84" t="str">
        <f t="shared" si="9"/>
        <v>315UND11MSSCHERER-NON1448818.88lbs-0.314144309790393Main Power Block - CU Sales</v>
      </c>
    </row>
    <row r="131" spans="1:22" ht="15" customHeight="1" x14ac:dyDescent="0.25">
      <c r="A131" s="85" t="s">
        <v>115</v>
      </c>
      <c r="B131" s="86" t="s">
        <v>158</v>
      </c>
      <c r="C131" s="101" t="s">
        <v>148</v>
      </c>
      <c r="D131" s="85" t="s">
        <v>114</v>
      </c>
      <c r="E131" s="85" t="s">
        <v>193</v>
      </c>
      <c r="F131" s="92">
        <f>'Scherer Data'!$D$21/4*0.2*Q131</f>
        <v>362204.72000000003</v>
      </c>
      <c r="G131" s="85" t="s">
        <v>36</v>
      </c>
      <c r="H131" s="91">
        <f>'Scherer Data'!$E$21</f>
        <v>-0.31414430979039298</v>
      </c>
      <c r="I131" s="135">
        <f>'Scherer Data'!$F$21/4*0.2*Q131</f>
        <v>-113784.55176722255</v>
      </c>
      <c r="J131" s="85" t="s">
        <v>118</v>
      </c>
      <c r="K131" s="85" t="s">
        <v>119</v>
      </c>
      <c r="L131" s="85" t="s">
        <v>63</v>
      </c>
      <c r="M131" s="85" t="str">
        <f t="shared" si="11"/>
        <v>Main Power Block - CU Sales</v>
      </c>
      <c r="N131" s="84">
        <f t="shared" si="7"/>
        <v>-0.31414430979039298</v>
      </c>
      <c r="O131" s="87">
        <f t="shared" si="8"/>
        <v>-113784.55176722255</v>
      </c>
      <c r="P131" s="88" t="s">
        <v>73</v>
      </c>
      <c r="Q131" s="147">
        <v>0.91600000000000004</v>
      </c>
      <c r="R131" s="143" t="s">
        <v>203</v>
      </c>
      <c r="S131" s="96" t="s">
        <v>145</v>
      </c>
      <c r="T131" s="84" t="s">
        <v>82</v>
      </c>
      <c r="U131" s="84" t="s">
        <v>99</v>
      </c>
      <c r="V131" s="84" t="str">
        <f t="shared" si="9"/>
        <v>312UND22MSSCHERER-NON362204.72lbs-0.314144309790393Main Power Block - CU Sales</v>
      </c>
    </row>
    <row r="132" spans="1:22" ht="15" customHeight="1" x14ac:dyDescent="0.25">
      <c r="A132" s="85" t="s">
        <v>127</v>
      </c>
      <c r="B132" s="86" t="s">
        <v>160</v>
      </c>
      <c r="C132" s="101" t="s">
        <v>148</v>
      </c>
      <c r="D132" s="85" t="s">
        <v>114</v>
      </c>
      <c r="E132" s="85" t="s">
        <v>193</v>
      </c>
      <c r="F132" s="92">
        <f>'Scherer Data'!$D$21/4*0.8*Q132</f>
        <v>1448818.8800000001</v>
      </c>
      <c r="G132" s="85" t="s">
        <v>36</v>
      </c>
      <c r="H132" s="91">
        <f>'Scherer Data'!$E$21</f>
        <v>-0.31414430979039298</v>
      </c>
      <c r="I132" s="135">
        <f>'Scherer Data'!$F$21/4*0.8*Q132</f>
        <v>-455138.20706889022</v>
      </c>
      <c r="J132" s="85" t="s">
        <v>118</v>
      </c>
      <c r="K132" s="85" t="s">
        <v>119</v>
      </c>
      <c r="L132" s="85" t="s">
        <v>63</v>
      </c>
      <c r="M132" s="85" t="str">
        <f t="shared" si="11"/>
        <v>Main Power Block - CU Sales</v>
      </c>
      <c r="N132" s="84">
        <f t="shared" si="7"/>
        <v>-0.31414430979039298</v>
      </c>
      <c r="O132" s="87">
        <f t="shared" si="8"/>
        <v>-455138.20706889022</v>
      </c>
      <c r="P132" s="88" t="s">
        <v>73</v>
      </c>
      <c r="Q132" s="147">
        <v>0.91600000000000004</v>
      </c>
      <c r="R132" s="143" t="s">
        <v>203</v>
      </c>
      <c r="S132" s="96" t="s">
        <v>145</v>
      </c>
      <c r="T132" s="84" t="s">
        <v>82</v>
      </c>
      <c r="U132" s="84" t="s">
        <v>99</v>
      </c>
      <c r="V132" s="84" t="str">
        <f t="shared" si="9"/>
        <v>315UND22MSSCHERER-NON1448818.88lbs-0.314144309790393Main Power Block - CU Sales</v>
      </c>
    </row>
    <row r="133" spans="1:22" ht="15" customHeight="1" x14ac:dyDescent="0.25">
      <c r="A133" s="85" t="s">
        <v>115</v>
      </c>
      <c r="B133" s="86" t="s">
        <v>158</v>
      </c>
      <c r="C133" s="101" t="s">
        <v>149</v>
      </c>
      <c r="D133" s="85" t="s">
        <v>133</v>
      </c>
      <c r="E133" s="85" t="s">
        <v>193</v>
      </c>
      <c r="F133" s="92">
        <f>'Scherer Data'!$D$21/4*0.2*Q133</f>
        <v>296565</v>
      </c>
      <c r="G133" s="85" t="s">
        <v>36</v>
      </c>
      <c r="H133" s="91">
        <f>'Scherer Data'!$E$21</f>
        <v>-0.31414430979039298</v>
      </c>
      <c r="I133" s="135">
        <f>'Scherer Data'!$F$21/4*0.2*Q133</f>
        <v>-93164.207232987901</v>
      </c>
      <c r="J133" s="85" t="s">
        <v>118</v>
      </c>
      <c r="K133" s="85" t="s">
        <v>119</v>
      </c>
      <c r="L133" s="85" t="s">
        <v>63</v>
      </c>
      <c r="M133" s="85" t="str">
        <f t="shared" si="11"/>
        <v>Main Power Block - CU Sales</v>
      </c>
      <c r="N133" s="84">
        <f t="shared" ref="N133:N196" si="12">H133</f>
        <v>-0.31414430979039298</v>
      </c>
      <c r="O133" s="87">
        <f t="shared" ref="O133:O196" si="13">I133</f>
        <v>-93164.207232987901</v>
      </c>
      <c r="P133" s="88" t="s">
        <v>73</v>
      </c>
      <c r="Q133" s="147">
        <v>0.75</v>
      </c>
      <c r="R133" s="143" t="s">
        <v>203</v>
      </c>
      <c r="S133" s="96" t="s">
        <v>145</v>
      </c>
      <c r="T133" s="84" t="s">
        <v>82</v>
      </c>
      <c r="U133" s="84" t="s">
        <v>99</v>
      </c>
      <c r="V133" s="84" t="str">
        <f t="shared" ref="V133:V196" si="14">A133&amp;C133&amp;D133&amp;E133&amp;F133&amp;G133&amp;H133&amp;J133</f>
        <v>312UND33MSSCHERER-NON296565lbs-0.314144309790393Main Power Block - CU Sales</v>
      </c>
    </row>
    <row r="134" spans="1:22" ht="15" customHeight="1" x14ac:dyDescent="0.25">
      <c r="A134" s="85" t="s">
        <v>127</v>
      </c>
      <c r="B134" s="86" t="s">
        <v>160</v>
      </c>
      <c r="C134" s="101" t="s">
        <v>149</v>
      </c>
      <c r="D134" s="85" t="s">
        <v>133</v>
      </c>
      <c r="E134" s="85" t="s">
        <v>193</v>
      </c>
      <c r="F134" s="92">
        <f>'Scherer Data'!$D$21/4*0.8*Q134</f>
        <v>1186260</v>
      </c>
      <c r="G134" s="85" t="s">
        <v>36</v>
      </c>
      <c r="H134" s="91">
        <f>'Scherer Data'!$E$21</f>
        <v>-0.31414430979039298</v>
      </c>
      <c r="I134" s="135">
        <f>'Scherer Data'!$F$21/4*0.8*Q134</f>
        <v>-372656.8289319516</v>
      </c>
      <c r="J134" s="85" t="s">
        <v>118</v>
      </c>
      <c r="K134" s="85" t="s">
        <v>119</v>
      </c>
      <c r="L134" s="85" t="s">
        <v>63</v>
      </c>
      <c r="M134" s="85" t="str">
        <f t="shared" si="11"/>
        <v>Main Power Block - CU Sales</v>
      </c>
      <c r="N134" s="84">
        <f t="shared" si="12"/>
        <v>-0.31414430979039298</v>
      </c>
      <c r="O134" s="87">
        <f t="shared" si="13"/>
        <v>-372656.8289319516</v>
      </c>
      <c r="P134" s="88" t="s">
        <v>73</v>
      </c>
      <c r="Q134" s="147">
        <v>0.75</v>
      </c>
      <c r="R134" s="143" t="s">
        <v>203</v>
      </c>
      <c r="S134" s="96" t="s">
        <v>145</v>
      </c>
      <c r="T134" s="84" t="s">
        <v>82</v>
      </c>
      <c r="U134" s="84" t="s">
        <v>99</v>
      </c>
      <c r="V134" s="84" t="str">
        <f t="shared" si="14"/>
        <v>315UND33MSSCHERER-NON1186260lbs-0.314144309790393Main Power Block - CU Sales</v>
      </c>
    </row>
    <row r="135" spans="1:22" ht="15" customHeight="1" x14ac:dyDescent="0.25">
      <c r="A135" s="85" t="s">
        <v>115</v>
      </c>
      <c r="B135" s="86" t="s">
        <v>158</v>
      </c>
      <c r="C135" s="101" t="s">
        <v>150</v>
      </c>
      <c r="D135" s="85" t="s">
        <v>134</v>
      </c>
      <c r="E135" s="85" t="s">
        <v>193</v>
      </c>
      <c r="F135" s="92">
        <f>'Scherer Data'!$D$21/4*0.2*Q135</f>
        <v>395420</v>
      </c>
      <c r="G135" s="85" t="s">
        <v>36</v>
      </c>
      <c r="H135" s="91">
        <f>'Scherer Data'!$E$21</f>
        <v>-0.31414430979039298</v>
      </c>
      <c r="I135" s="135">
        <f>'Scherer Data'!$F$21/4*0.2*Q135</f>
        <v>-124218.9429773172</v>
      </c>
      <c r="J135" s="85" t="s">
        <v>118</v>
      </c>
      <c r="K135" s="85" t="s">
        <v>119</v>
      </c>
      <c r="L135" s="85" t="s">
        <v>63</v>
      </c>
      <c r="M135" s="85" t="str">
        <f t="shared" si="11"/>
        <v>Main Power Block - CU Sales</v>
      </c>
      <c r="N135" s="84">
        <f t="shared" si="12"/>
        <v>-0.31414430979039298</v>
      </c>
      <c r="O135" s="87">
        <f t="shared" si="13"/>
        <v>-124218.9429773172</v>
      </c>
      <c r="P135" s="88" t="s">
        <v>73</v>
      </c>
      <c r="Q135" s="147">
        <v>1</v>
      </c>
      <c r="R135" s="143" t="s">
        <v>203</v>
      </c>
      <c r="S135" s="96" t="s">
        <v>145</v>
      </c>
      <c r="T135" s="84" t="s">
        <v>82</v>
      </c>
      <c r="U135" s="84" t="s">
        <v>99</v>
      </c>
      <c r="V135" s="84" t="str">
        <f t="shared" si="14"/>
        <v>312UND44MSSCHERER-NON395420lbs-0.314144309790393Main Power Block - CU Sales</v>
      </c>
    </row>
    <row r="136" spans="1:22" ht="15" customHeight="1" x14ac:dyDescent="0.25">
      <c r="A136" s="85" t="s">
        <v>127</v>
      </c>
      <c r="B136" s="86" t="s">
        <v>160</v>
      </c>
      <c r="C136" s="101" t="s">
        <v>150</v>
      </c>
      <c r="D136" s="85" t="s">
        <v>134</v>
      </c>
      <c r="E136" s="85" t="s">
        <v>193</v>
      </c>
      <c r="F136" s="92">
        <f>'Scherer Data'!$D$21/4*0.8*Q136</f>
        <v>1581680</v>
      </c>
      <c r="G136" s="85" t="s">
        <v>36</v>
      </c>
      <c r="H136" s="91">
        <f>'Scherer Data'!$E$21</f>
        <v>-0.31414430979039298</v>
      </c>
      <c r="I136" s="135">
        <f>'Scherer Data'!$F$21/4*0.8*Q136</f>
        <v>-496875.77190926881</v>
      </c>
      <c r="J136" s="85" t="s">
        <v>118</v>
      </c>
      <c r="K136" s="85" t="s">
        <v>119</v>
      </c>
      <c r="L136" s="85" t="s">
        <v>63</v>
      </c>
      <c r="M136" s="85" t="str">
        <f t="shared" si="11"/>
        <v>Main Power Block - CU Sales</v>
      </c>
      <c r="N136" s="84">
        <f t="shared" si="12"/>
        <v>-0.31414430979039298</v>
      </c>
      <c r="O136" s="87">
        <f t="shared" si="13"/>
        <v>-496875.77190926881</v>
      </c>
      <c r="P136" s="88" t="s">
        <v>73</v>
      </c>
      <c r="Q136" s="147">
        <v>1</v>
      </c>
      <c r="R136" s="143" t="s">
        <v>203</v>
      </c>
      <c r="S136" s="96" t="s">
        <v>145</v>
      </c>
      <c r="T136" s="84" t="s">
        <v>82</v>
      </c>
      <c r="U136" s="84" t="s">
        <v>99</v>
      </c>
      <c r="V136" s="84" t="str">
        <f t="shared" si="14"/>
        <v>315UND44MSSCHERER-NON1581680lbs-0.314144309790393Main Power Block - CU Sales</v>
      </c>
    </row>
    <row r="137" spans="1:22" ht="15" customHeight="1" x14ac:dyDescent="0.25">
      <c r="A137" s="85" t="s">
        <v>106</v>
      </c>
      <c r="B137" s="86" t="s">
        <v>152</v>
      </c>
      <c r="C137" s="101" t="s">
        <v>147</v>
      </c>
      <c r="D137" s="85" t="s">
        <v>67</v>
      </c>
      <c r="E137" s="85" t="s">
        <v>193</v>
      </c>
      <c r="F137" s="92">
        <f>('Scherer Data'!$D$18/4)*0.6*Q137</f>
        <v>1136.2128498000002</v>
      </c>
      <c r="G137" s="85" t="s">
        <v>33</v>
      </c>
      <c r="H137" s="91">
        <f>('Scherer Data'!$E$18)</f>
        <v>255.1</v>
      </c>
      <c r="I137" s="135">
        <f>('Scherer Data'!$F$18/4)*0.6*Q137</f>
        <v>289847.89798398002</v>
      </c>
      <c r="J137" s="85" t="s">
        <v>111</v>
      </c>
      <c r="K137" s="85" t="s">
        <v>63</v>
      </c>
      <c r="L137" s="85" t="s">
        <v>63</v>
      </c>
      <c r="M137" s="85" t="str">
        <f t="shared" si="11"/>
        <v>Main Power Block - DEMO</v>
      </c>
      <c r="N137" s="84">
        <f t="shared" si="12"/>
        <v>255.1</v>
      </c>
      <c r="O137" s="87">
        <f t="shared" si="13"/>
        <v>289847.89798398002</v>
      </c>
      <c r="P137" s="88" t="s">
        <v>73</v>
      </c>
      <c r="Q137" s="147">
        <v>8.4000000000000005E-2</v>
      </c>
      <c r="R137" s="143" t="s">
        <v>203</v>
      </c>
      <c r="S137" s="96" t="s">
        <v>143</v>
      </c>
      <c r="T137" s="84" t="s">
        <v>82</v>
      </c>
      <c r="U137" s="84" t="s">
        <v>99</v>
      </c>
      <c r="V137" s="84" t="str">
        <f t="shared" si="14"/>
        <v>311UND11LRSCHERER-NON1136.2128498nt255.1Main Power Block - DEMO</v>
      </c>
    </row>
    <row r="138" spans="1:22" ht="15" customHeight="1" x14ac:dyDescent="0.25">
      <c r="A138" s="85" t="s">
        <v>115</v>
      </c>
      <c r="B138" s="86" t="s">
        <v>158</v>
      </c>
      <c r="C138" s="101" t="s">
        <v>147</v>
      </c>
      <c r="D138" s="85" t="s">
        <v>67</v>
      </c>
      <c r="E138" s="85" t="s">
        <v>193</v>
      </c>
      <c r="F138" s="92">
        <f>('Scherer Data'!$D$18/4)*0.2*Q138</f>
        <v>378.73761660000008</v>
      </c>
      <c r="G138" s="85" t="s">
        <v>33</v>
      </c>
      <c r="H138" s="91">
        <f>('Scherer Data'!$E$18)</f>
        <v>255.1</v>
      </c>
      <c r="I138" s="135">
        <f>('Scherer Data'!$F$18/4)*0.2*Q138</f>
        <v>96615.96599466003</v>
      </c>
      <c r="J138" s="85" t="s">
        <v>111</v>
      </c>
      <c r="K138" s="85" t="s">
        <v>63</v>
      </c>
      <c r="L138" s="85" t="s">
        <v>63</v>
      </c>
      <c r="M138" s="85" t="str">
        <f t="shared" si="11"/>
        <v>Main Power Block - DEMO</v>
      </c>
      <c r="N138" s="84">
        <f t="shared" si="12"/>
        <v>255.1</v>
      </c>
      <c r="O138" s="87">
        <f t="shared" si="13"/>
        <v>96615.96599466003</v>
      </c>
      <c r="P138" s="88" t="s">
        <v>73</v>
      </c>
      <c r="Q138" s="147">
        <v>8.4000000000000005E-2</v>
      </c>
      <c r="R138" s="143" t="s">
        <v>203</v>
      </c>
      <c r="S138" s="96" t="s">
        <v>143</v>
      </c>
      <c r="T138" s="84" t="s">
        <v>82</v>
      </c>
      <c r="U138" s="84" t="s">
        <v>99</v>
      </c>
      <c r="V138" s="84" t="str">
        <f t="shared" si="14"/>
        <v>312UND11LRSCHERER-NON378.7376166nt255.1Main Power Block - DEMO</v>
      </c>
    </row>
    <row r="139" spans="1:22" ht="15" customHeight="1" x14ac:dyDescent="0.25">
      <c r="A139" s="85" t="s">
        <v>125</v>
      </c>
      <c r="B139" s="86" t="s">
        <v>159</v>
      </c>
      <c r="C139" s="101" t="s">
        <v>147</v>
      </c>
      <c r="D139" s="85" t="s">
        <v>67</v>
      </c>
      <c r="E139" s="85" t="s">
        <v>193</v>
      </c>
      <c r="F139" s="92">
        <f>('Scherer Data'!$D$18/4)*0.15*Q139</f>
        <v>284.05321245000005</v>
      </c>
      <c r="G139" s="85" t="s">
        <v>33</v>
      </c>
      <c r="H139" s="91">
        <f>('Scherer Data'!$E$18)</f>
        <v>255.1</v>
      </c>
      <c r="I139" s="135">
        <f>('Scherer Data'!$F$18/4)*0.15*Q139</f>
        <v>72461.974495995004</v>
      </c>
      <c r="J139" s="85" t="s">
        <v>111</v>
      </c>
      <c r="K139" s="85" t="s">
        <v>63</v>
      </c>
      <c r="L139" s="85" t="s">
        <v>63</v>
      </c>
      <c r="M139" s="85" t="str">
        <f t="shared" si="11"/>
        <v>Main Power Block - DEMO</v>
      </c>
      <c r="N139" s="84">
        <f t="shared" si="12"/>
        <v>255.1</v>
      </c>
      <c r="O139" s="87">
        <f t="shared" si="13"/>
        <v>72461.974495995004</v>
      </c>
      <c r="P139" s="88" t="s">
        <v>73</v>
      </c>
      <c r="Q139" s="147">
        <v>8.4000000000000005E-2</v>
      </c>
      <c r="R139" s="143" t="s">
        <v>203</v>
      </c>
      <c r="S139" s="96" t="s">
        <v>143</v>
      </c>
      <c r="T139" s="84" t="s">
        <v>82</v>
      </c>
      <c r="U139" s="84" t="s">
        <v>99</v>
      </c>
      <c r="V139" s="84" t="str">
        <f t="shared" si="14"/>
        <v>314UND11LRSCHERER-NON284.05321245nt255.1Main Power Block - DEMO</v>
      </c>
    </row>
    <row r="140" spans="1:22" ht="15" customHeight="1" x14ac:dyDescent="0.25">
      <c r="A140" s="85" t="s">
        <v>127</v>
      </c>
      <c r="B140" s="86" t="s">
        <v>160</v>
      </c>
      <c r="C140" s="101" t="s">
        <v>147</v>
      </c>
      <c r="D140" s="85" t="s">
        <v>67</v>
      </c>
      <c r="E140" s="85" t="s">
        <v>193</v>
      </c>
      <c r="F140" s="92">
        <f>('Scherer Data'!$D$18/4)*0.05*Q140</f>
        <v>94.68440415000002</v>
      </c>
      <c r="G140" s="85" t="s">
        <v>33</v>
      </c>
      <c r="H140" s="91">
        <f>('Scherer Data'!$E$18)</f>
        <v>255.1</v>
      </c>
      <c r="I140" s="135">
        <f>('Scherer Data'!$F$18/4)*0.05*Q140</f>
        <v>24153.991498665007</v>
      </c>
      <c r="J140" s="85" t="s">
        <v>111</v>
      </c>
      <c r="K140" s="85" t="s">
        <v>63</v>
      </c>
      <c r="L140" s="85" t="s">
        <v>63</v>
      </c>
      <c r="M140" s="85" t="str">
        <f t="shared" si="11"/>
        <v>Main Power Block - DEMO</v>
      </c>
      <c r="N140" s="84">
        <f t="shared" si="12"/>
        <v>255.1</v>
      </c>
      <c r="O140" s="87">
        <f t="shared" si="13"/>
        <v>24153.991498665007</v>
      </c>
      <c r="P140" s="88" t="s">
        <v>73</v>
      </c>
      <c r="Q140" s="147">
        <v>8.4000000000000005E-2</v>
      </c>
      <c r="R140" s="143" t="s">
        <v>203</v>
      </c>
      <c r="S140" s="96" t="s">
        <v>143</v>
      </c>
      <c r="T140" s="84" t="s">
        <v>82</v>
      </c>
      <c r="U140" s="84" t="s">
        <v>99</v>
      </c>
      <c r="V140" s="84" t="str">
        <f t="shared" si="14"/>
        <v>315UND11LRSCHERER-NON94.68440415nt255.1Main Power Block - DEMO</v>
      </c>
    </row>
    <row r="141" spans="1:22" ht="15" customHeight="1" x14ac:dyDescent="0.25">
      <c r="A141" s="85" t="s">
        <v>106</v>
      </c>
      <c r="B141" s="86" t="s">
        <v>152</v>
      </c>
      <c r="C141" s="101" t="s">
        <v>148</v>
      </c>
      <c r="D141" s="85" t="s">
        <v>68</v>
      </c>
      <c r="E141" s="85" t="s">
        <v>193</v>
      </c>
      <c r="F141" s="92">
        <f>('Scherer Data'!$D$18/4)*0.6*Q141</f>
        <v>1136.2128498000002</v>
      </c>
      <c r="G141" s="85" t="s">
        <v>33</v>
      </c>
      <c r="H141" s="91">
        <f>('Scherer Data'!$E$18)</f>
        <v>255.1</v>
      </c>
      <c r="I141" s="135">
        <f>('Scherer Data'!$F$18/4)*0.6*Q141</f>
        <v>289847.89798398002</v>
      </c>
      <c r="J141" s="85" t="s">
        <v>111</v>
      </c>
      <c r="K141" s="85" t="s">
        <v>63</v>
      </c>
      <c r="L141" s="85" t="s">
        <v>63</v>
      </c>
      <c r="M141" s="85" t="str">
        <f t="shared" si="11"/>
        <v>Main Power Block - DEMO</v>
      </c>
      <c r="N141" s="84">
        <f t="shared" si="12"/>
        <v>255.1</v>
      </c>
      <c r="O141" s="87">
        <f t="shared" si="13"/>
        <v>289847.89798398002</v>
      </c>
      <c r="P141" s="88" t="s">
        <v>73</v>
      </c>
      <c r="Q141" s="147">
        <v>8.4000000000000005E-2</v>
      </c>
      <c r="R141" s="143" t="s">
        <v>203</v>
      </c>
      <c r="S141" s="96" t="s">
        <v>143</v>
      </c>
      <c r="T141" s="84" t="s">
        <v>82</v>
      </c>
      <c r="U141" s="84" t="s">
        <v>99</v>
      </c>
      <c r="V141" s="84" t="str">
        <f t="shared" si="14"/>
        <v>311UND22LRSCHERER-NON1136.2128498nt255.1Main Power Block - DEMO</v>
      </c>
    </row>
    <row r="142" spans="1:22" ht="15" customHeight="1" x14ac:dyDescent="0.25">
      <c r="A142" s="85" t="s">
        <v>115</v>
      </c>
      <c r="B142" s="86" t="s">
        <v>158</v>
      </c>
      <c r="C142" s="101" t="s">
        <v>148</v>
      </c>
      <c r="D142" s="85" t="s">
        <v>68</v>
      </c>
      <c r="E142" s="85" t="s">
        <v>193</v>
      </c>
      <c r="F142" s="92">
        <f>('Scherer Data'!$D$18/4)*0.2*Q142</f>
        <v>378.73761660000008</v>
      </c>
      <c r="G142" s="85" t="s">
        <v>33</v>
      </c>
      <c r="H142" s="91">
        <f>('Scherer Data'!$E$18)</f>
        <v>255.1</v>
      </c>
      <c r="I142" s="135">
        <f>('Scherer Data'!$F$18/4)*0.2*Q142</f>
        <v>96615.96599466003</v>
      </c>
      <c r="J142" s="85" t="s">
        <v>111</v>
      </c>
      <c r="K142" s="85" t="s">
        <v>63</v>
      </c>
      <c r="L142" s="85" t="s">
        <v>63</v>
      </c>
      <c r="M142" s="85" t="str">
        <f t="shared" si="11"/>
        <v>Main Power Block - DEMO</v>
      </c>
      <c r="N142" s="84">
        <f t="shared" si="12"/>
        <v>255.1</v>
      </c>
      <c r="O142" s="87">
        <f t="shared" si="13"/>
        <v>96615.96599466003</v>
      </c>
      <c r="P142" s="88" t="s">
        <v>73</v>
      </c>
      <c r="Q142" s="147">
        <v>8.4000000000000005E-2</v>
      </c>
      <c r="R142" s="143" t="s">
        <v>203</v>
      </c>
      <c r="S142" s="96" t="s">
        <v>143</v>
      </c>
      <c r="T142" s="84" t="s">
        <v>82</v>
      </c>
      <c r="U142" s="84" t="s">
        <v>99</v>
      </c>
      <c r="V142" s="84" t="str">
        <f t="shared" si="14"/>
        <v>312UND22LRSCHERER-NON378.7376166nt255.1Main Power Block - DEMO</v>
      </c>
    </row>
    <row r="143" spans="1:22" ht="15" customHeight="1" x14ac:dyDescent="0.25">
      <c r="A143" s="85" t="s">
        <v>125</v>
      </c>
      <c r="B143" s="86" t="s">
        <v>159</v>
      </c>
      <c r="C143" s="101" t="s">
        <v>148</v>
      </c>
      <c r="D143" s="85" t="s">
        <v>68</v>
      </c>
      <c r="E143" s="85" t="s">
        <v>193</v>
      </c>
      <c r="F143" s="92">
        <f>('Scherer Data'!$D$18/4)*0.15*Q143</f>
        <v>284.05321245000005</v>
      </c>
      <c r="G143" s="85" t="s">
        <v>33</v>
      </c>
      <c r="H143" s="91">
        <f>('Scherer Data'!$E$18)</f>
        <v>255.1</v>
      </c>
      <c r="I143" s="135">
        <f>('Scherer Data'!$F$18/4)*0.15*Q143</f>
        <v>72461.974495995004</v>
      </c>
      <c r="J143" s="85" t="s">
        <v>111</v>
      </c>
      <c r="K143" s="85" t="s">
        <v>63</v>
      </c>
      <c r="L143" s="85" t="s">
        <v>63</v>
      </c>
      <c r="M143" s="85" t="str">
        <f t="shared" si="11"/>
        <v>Main Power Block - DEMO</v>
      </c>
      <c r="N143" s="84">
        <f t="shared" si="12"/>
        <v>255.1</v>
      </c>
      <c r="O143" s="87">
        <f t="shared" si="13"/>
        <v>72461.974495995004</v>
      </c>
      <c r="P143" s="88" t="s">
        <v>73</v>
      </c>
      <c r="Q143" s="147">
        <v>8.4000000000000005E-2</v>
      </c>
      <c r="R143" s="143" t="s">
        <v>203</v>
      </c>
      <c r="S143" s="96" t="s">
        <v>143</v>
      </c>
      <c r="T143" s="84" t="s">
        <v>82</v>
      </c>
      <c r="U143" s="84" t="s">
        <v>99</v>
      </c>
      <c r="V143" s="84" t="str">
        <f t="shared" si="14"/>
        <v>314UND22LRSCHERER-NON284.05321245nt255.1Main Power Block - DEMO</v>
      </c>
    </row>
    <row r="144" spans="1:22" ht="15" customHeight="1" x14ac:dyDescent="0.25">
      <c r="A144" s="85" t="s">
        <v>127</v>
      </c>
      <c r="B144" s="86" t="s">
        <v>160</v>
      </c>
      <c r="C144" s="101" t="s">
        <v>148</v>
      </c>
      <c r="D144" s="85" t="s">
        <v>68</v>
      </c>
      <c r="E144" s="85" t="s">
        <v>193</v>
      </c>
      <c r="F144" s="92">
        <f>('Scherer Data'!$D$18/4)*0.05*Q144</f>
        <v>94.68440415000002</v>
      </c>
      <c r="G144" s="85" t="s">
        <v>33</v>
      </c>
      <c r="H144" s="91">
        <f>('Scherer Data'!$E$18)</f>
        <v>255.1</v>
      </c>
      <c r="I144" s="135">
        <f>('Scherer Data'!$F$18/4)*0.05*Q144</f>
        <v>24153.991498665007</v>
      </c>
      <c r="J144" s="85" t="s">
        <v>111</v>
      </c>
      <c r="K144" s="85" t="s">
        <v>63</v>
      </c>
      <c r="L144" s="85" t="s">
        <v>63</v>
      </c>
      <c r="M144" s="85" t="str">
        <f t="shared" si="11"/>
        <v>Main Power Block - DEMO</v>
      </c>
      <c r="N144" s="84">
        <f t="shared" si="12"/>
        <v>255.1</v>
      </c>
      <c r="O144" s="87">
        <f t="shared" si="13"/>
        <v>24153.991498665007</v>
      </c>
      <c r="P144" s="88" t="s">
        <v>73</v>
      </c>
      <c r="Q144" s="147">
        <v>8.4000000000000005E-2</v>
      </c>
      <c r="R144" s="143" t="s">
        <v>203</v>
      </c>
      <c r="S144" s="96" t="s">
        <v>143</v>
      </c>
      <c r="T144" s="84" t="s">
        <v>82</v>
      </c>
      <c r="U144" s="84" t="s">
        <v>99</v>
      </c>
      <c r="V144" s="84" t="str">
        <f t="shared" si="14"/>
        <v>315UND22LRSCHERER-NON94.68440415nt255.1Main Power Block - DEMO</v>
      </c>
    </row>
    <row r="145" spans="1:22" ht="15" customHeight="1" x14ac:dyDescent="0.25">
      <c r="A145" s="85" t="s">
        <v>106</v>
      </c>
      <c r="B145" s="86" t="s">
        <v>152</v>
      </c>
      <c r="C145" s="101" t="s">
        <v>147</v>
      </c>
      <c r="D145" s="85" t="s">
        <v>67</v>
      </c>
      <c r="E145" s="85" t="s">
        <v>193</v>
      </c>
      <c r="F145" s="92">
        <f>('Scherer Data'!$D$18/4)*0.6*Q145</f>
        <v>12390.1306002</v>
      </c>
      <c r="G145" s="85" t="s">
        <v>33</v>
      </c>
      <c r="H145" s="91">
        <f>('Scherer Data'!$E$18)</f>
        <v>255.1</v>
      </c>
      <c r="I145" s="135">
        <f>('Scherer Data'!$F$18/4)*0.6*Q145</f>
        <v>3160722.3161110203</v>
      </c>
      <c r="J145" s="85" t="s">
        <v>111</v>
      </c>
      <c r="K145" s="85" t="s">
        <v>63</v>
      </c>
      <c r="L145" s="85" t="s">
        <v>63</v>
      </c>
      <c r="M145" s="85" t="str">
        <f t="shared" si="11"/>
        <v>Main Power Block - DEMO</v>
      </c>
      <c r="N145" s="84">
        <f t="shared" si="12"/>
        <v>255.1</v>
      </c>
      <c r="O145" s="87">
        <f t="shared" si="13"/>
        <v>3160722.3161110203</v>
      </c>
      <c r="P145" s="88" t="s">
        <v>73</v>
      </c>
      <c r="Q145" s="147">
        <v>0.91600000000000004</v>
      </c>
      <c r="R145" s="143" t="s">
        <v>203</v>
      </c>
      <c r="S145" s="96" t="s">
        <v>143</v>
      </c>
      <c r="T145" s="84" t="s">
        <v>82</v>
      </c>
      <c r="U145" s="84" t="s">
        <v>99</v>
      </c>
      <c r="V145" s="84" t="str">
        <f t="shared" si="14"/>
        <v>311UND11LRSCHERER-NON12390.1306002nt255.1Main Power Block - DEMO</v>
      </c>
    </row>
    <row r="146" spans="1:22" ht="15" customHeight="1" x14ac:dyDescent="0.25">
      <c r="A146" s="85" t="s">
        <v>115</v>
      </c>
      <c r="B146" s="86" t="s">
        <v>158</v>
      </c>
      <c r="C146" s="101" t="s">
        <v>147</v>
      </c>
      <c r="D146" s="85" t="s">
        <v>67</v>
      </c>
      <c r="E146" s="85" t="s">
        <v>193</v>
      </c>
      <c r="F146" s="92">
        <f>('Scherer Data'!$D$18/4)*0.2*Q146</f>
        <v>4130.0435334000013</v>
      </c>
      <c r="G146" s="85" t="s">
        <v>33</v>
      </c>
      <c r="H146" s="91">
        <f>('Scherer Data'!$E$18)</f>
        <v>255.1</v>
      </c>
      <c r="I146" s="135">
        <f>('Scherer Data'!$F$18/4)*0.2*Q146</f>
        <v>1053574.1053703402</v>
      </c>
      <c r="J146" s="85" t="s">
        <v>111</v>
      </c>
      <c r="K146" s="85" t="s">
        <v>63</v>
      </c>
      <c r="L146" s="85" t="s">
        <v>63</v>
      </c>
      <c r="M146" s="85" t="str">
        <f t="shared" si="11"/>
        <v>Main Power Block - DEMO</v>
      </c>
      <c r="N146" s="84">
        <f t="shared" si="12"/>
        <v>255.1</v>
      </c>
      <c r="O146" s="87">
        <f t="shared" si="13"/>
        <v>1053574.1053703402</v>
      </c>
      <c r="P146" s="88" t="s">
        <v>73</v>
      </c>
      <c r="Q146" s="147">
        <v>0.91600000000000004</v>
      </c>
      <c r="R146" s="143" t="s">
        <v>203</v>
      </c>
      <c r="S146" s="96" t="s">
        <v>143</v>
      </c>
      <c r="T146" s="84" t="s">
        <v>82</v>
      </c>
      <c r="U146" s="84" t="s">
        <v>99</v>
      </c>
      <c r="V146" s="84" t="str">
        <f t="shared" si="14"/>
        <v>312UND11LRSCHERER-NON4130.0435334nt255.1Main Power Block - DEMO</v>
      </c>
    </row>
    <row r="147" spans="1:22" ht="15" customHeight="1" x14ac:dyDescent="0.25">
      <c r="A147" s="85" t="s">
        <v>125</v>
      </c>
      <c r="B147" s="86" t="s">
        <v>159</v>
      </c>
      <c r="C147" s="101" t="s">
        <v>147</v>
      </c>
      <c r="D147" s="85" t="s">
        <v>67</v>
      </c>
      <c r="E147" s="85" t="s">
        <v>193</v>
      </c>
      <c r="F147" s="92">
        <f>('Scherer Data'!$D$18/4)*0.15*Q147</f>
        <v>3097.53265005</v>
      </c>
      <c r="G147" s="85" t="s">
        <v>33</v>
      </c>
      <c r="H147" s="91">
        <f>('Scherer Data'!$E$18)</f>
        <v>255.1</v>
      </c>
      <c r="I147" s="135">
        <f>('Scherer Data'!$F$18/4)*0.15*Q147</f>
        <v>790180.57902775507</v>
      </c>
      <c r="J147" s="85" t="s">
        <v>111</v>
      </c>
      <c r="K147" s="85" t="s">
        <v>63</v>
      </c>
      <c r="L147" s="85" t="s">
        <v>63</v>
      </c>
      <c r="M147" s="85" t="str">
        <f t="shared" si="11"/>
        <v>Main Power Block - DEMO</v>
      </c>
      <c r="N147" s="84">
        <f t="shared" si="12"/>
        <v>255.1</v>
      </c>
      <c r="O147" s="87">
        <f t="shared" si="13"/>
        <v>790180.57902775507</v>
      </c>
      <c r="P147" s="88" t="s">
        <v>73</v>
      </c>
      <c r="Q147" s="147">
        <v>0.91600000000000004</v>
      </c>
      <c r="R147" s="143" t="s">
        <v>203</v>
      </c>
      <c r="S147" s="96" t="s">
        <v>143</v>
      </c>
      <c r="T147" s="84" t="s">
        <v>82</v>
      </c>
      <c r="U147" s="84" t="s">
        <v>99</v>
      </c>
      <c r="V147" s="84" t="str">
        <f t="shared" si="14"/>
        <v>314UND11LRSCHERER-NON3097.53265005nt255.1Main Power Block - DEMO</v>
      </c>
    </row>
    <row r="148" spans="1:22" ht="15" customHeight="1" x14ac:dyDescent="0.25">
      <c r="A148" s="85" t="s">
        <v>127</v>
      </c>
      <c r="B148" s="86" t="s">
        <v>160</v>
      </c>
      <c r="C148" s="101" t="s">
        <v>147</v>
      </c>
      <c r="D148" s="85" t="s">
        <v>67</v>
      </c>
      <c r="E148" s="85" t="s">
        <v>193</v>
      </c>
      <c r="F148" s="92">
        <f>('Scherer Data'!$D$18/4)*0.05*Q148</f>
        <v>1032.5108833500003</v>
      </c>
      <c r="G148" s="85" t="s">
        <v>33</v>
      </c>
      <c r="H148" s="91">
        <f>('Scherer Data'!$E$18)</f>
        <v>255.1</v>
      </c>
      <c r="I148" s="135">
        <f>('Scherer Data'!$F$18/4)*0.05*Q148</f>
        <v>263393.52634258504</v>
      </c>
      <c r="J148" s="85" t="s">
        <v>111</v>
      </c>
      <c r="K148" s="85" t="s">
        <v>63</v>
      </c>
      <c r="L148" s="85" t="s">
        <v>63</v>
      </c>
      <c r="M148" s="85" t="str">
        <f t="shared" si="11"/>
        <v>Main Power Block - DEMO</v>
      </c>
      <c r="N148" s="84">
        <f t="shared" si="12"/>
        <v>255.1</v>
      </c>
      <c r="O148" s="87">
        <f t="shared" si="13"/>
        <v>263393.52634258504</v>
      </c>
      <c r="P148" s="88" t="s">
        <v>73</v>
      </c>
      <c r="Q148" s="147">
        <v>0.91600000000000004</v>
      </c>
      <c r="R148" s="143" t="s">
        <v>203</v>
      </c>
      <c r="S148" s="96" t="s">
        <v>143</v>
      </c>
      <c r="T148" s="84" t="s">
        <v>82</v>
      </c>
      <c r="U148" s="84" t="s">
        <v>99</v>
      </c>
      <c r="V148" s="84" t="str">
        <f t="shared" si="14"/>
        <v>315UND11LRSCHERER-NON1032.51088335nt255.1Main Power Block - DEMO</v>
      </c>
    </row>
    <row r="149" spans="1:22" ht="15" customHeight="1" x14ac:dyDescent="0.25">
      <c r="A149" s="85" t="s">
        <v>106</v>
      </c>
      <c r="B149" s="86" t="s">
        <v>152</v>
      </c>
      <c r="C149" s="101" t="s">
        <v>148</v>
      </c>
      <c r="D149" s="85" t="s">
        <v>68</v>
      </c>
      <c r="E149" s="85" t="s">
        <v>193</v>
      </c>
      <c r="F149" s="92">
        <f>('Scherer Data'!$D$18/4)*0.6*Q149</f>
        <v>12390.1306002</v>
      </c>
      <c r="G149" s="85" t="s">
        <v>33</v>
      </c>
      <c r="H149" s="91">
        <f>('Scherer Data'!$E$18)</f>
        <v>255.1</v>
      </c>
      <c r="I149" s="135">
        <f>('Scherer Data'!$F$18/4)*0.6*Q149</f>
        <v>3160722.3161110203</v>
      </c>
      <c r="J149" s="85" t="s">
        <v>111</v>
      </c>
      <c r="K149" s="85" t="s">
        <v>63</v>
      </c>
      <c r="L149" s="85" t="s">
        <v>63</v>
      </c>
      <c r="M149" s="85" t="str">
        <f t="shared" si="11"/>
        <v>Main Power Block - DEMO</v>
      </c>
      <c r="N149" s="84">
        <f t="shared" si="12"/>
        <v>255.1</v>
      </c>
      <c r="O149" s="87">
        <f t="shared" si="13"/>
        <v>3160722.3161110203</v>
      </c>
      <c r="P149" s="88" t="s">
        <v>73</v>
      </c>
      <c r="Q149" s="147">
        <v>0.91600000000000004</v>
      </c>
      <c r="R149" s="143" t="s">
        <v>203</v>
      </c>
      <c r="S149" s="96" t="s">
        <v>143</v>
      </c>
      <c r="T149" s="84" t="s">
        <v>82</v>
      </c>
      <c r="U149" s="84" t="s">
        <v>99</v>
      </c>
      <c r="V149" s="84" t="str">
        <f t="shared" si="14"/>
        <v>311UND22LRSCHERER-NON12390.1306002nt255.1Main Power Block - DEMO</v>
      </c>
    </row>
    <row r="150" spans="1:22" ht="15" customHeight="1" x14ac:dyDescent="0.25">
      <c r="A150" s="85" t="s">
        <v>115</v>
      </c>
      <c r="B150" s="86" t="s">
        <v>158</v>
      </c>
      <c r="C150" s="101" t="s">
        <v>148</v>
      </c>
      <c r="D150" s="85" t="s">
        <v>68</v>
      </c>
      <c r="E150" s="85" t="s">
        <v>193</v>
      </c>
      <c r="F150" s="92">
        <f>('Scherer Data'!$D$18/4)*0.2*Q150</f>
        <v>4130.0435334000013</v>
      </c>
      <c r="G150" s="85" t="s">
        <v>33</v>
      </c>
      <c r="H150" s="91">
        <f>('Scherer Data'!$E$18)</f>
        <v>255.1</v>
      </c>
      <c r="I150" s="135">
        <f>('Scherer Data'!$F$18/4)*0.2*Q150</f>
        <v>1053574.1053703402</v>
      </c>
      <c r="J150" s="85" t="s">
        <v>111</v>
      </c>
      <c r="K150" s="85" t="s">
        <v>63</v>
      </c>
      <c r="L150" s="85" t="s">
        <v>63</v>
      </c>
      <c r="M150" s="85" t="str">
        <f t="shared" si="11"/>
        <v>Main Power Block - DEMO</v>
      </c>
      <c r="N150" s="84">
        <f t="shared" si="12"/>
        <v>255.1</v>
      </c>
      <c r="O150" s="87">
        <f t="shared" si="13"/>
        <v>1053574.1053703402</v>
      </c>
      <c r="P150" s="88" t="s">
        <v>73</v>
      </c>
      <c r="Q150" s="147">
        <v>0.91600000000000004</v>
      </c>
      <c r="R150" s="143" t="s">
        <v>203</v>
      </c>
      <c r="S150" s="96" t="s">
        <v>143</v>
      </c>
      <c r="T150" s="84" t="s">
        <v>82</v>
      </c>
      <c r="U150" s="84" t="s">
        <v>99</v>
      </c>
      <c r="V150" s="84" t="str">
        <f t="shared" si="14"/>
        <v>312UND22LRSCHERER-NON4130.0435334nt255.1Main Power Block - DEMO</v>
      </c>
    </row>
    <row r="151" spans="1:22" ht="15" customHeight="1" x14ac:dyDescent="0.25">
      <c r="A151" s="85" t="s">
        <v>125</v>
      </c>
      <c r="B151" s="86" t="s">
        <v>159</v>
      </c>
      <c r="C151" s="101" t="s">
        <v>148</v>
      </c>
      <c r="D151" s="85" t="s">
        <v>68</v>
      </c>
      <c r="E151" s="85" t="s">
        <v>193</v>
      </c>
      <c r="F151" s="92">
        <f>('Scherer Data'!$D$18/4)*0.15*Q151</f>
        <v>3097.53265005</v>
      </c>
      <c r="G151" s="85" t="s">
        <v>33</v>
      </c>
      <c r="H151" s="91">
        <f>('Scherer Data'!$E$18)</f>
        <v>255.1</v>
      </c>
      <c r="I151" s="135">
        <f>('Scherer Data'!$F$18/4)*0.15*Q151</f>
        <v>790180.57902775507</v>
      </c>
      <c r="J151" s="85" t="s">
        <v>111</v>
      </c>
      <c r="K151" s="85" t="s">
        <v>63</v>
      </c>
      <c r="L151" s="85" t="s">
        <v>63</v>
      </c>
      <c r="M151" s="85" t="str">
        <f t="shared" si="11"/>
        <v>Main Power Block - DEMO</v>
      </c>
      <c r="N151" s="84">
        <f t="shared" si="12"/>
        <v>255.1</v>
      </c>
      <c r="O151" s="87">
        <f t="shared" si="13"/>
        <v>790180.57902775507</v>
      </c>
      <c r="P151" s="88" t="s">
        <v>73</v>
      </c>
      <c r="Q151" s="147">
        <v>0.91600000000000004</v>
      </c>
      <c r="R151" s="143" t="s">
        <v>203</v>
      </c>
      <c r="S151" s="96" t="s">
        <v>143</v>
      </c>
      <c r="T151" s="84" t="s">
        <v>82</v>
      </c>
      <c r="U151" s="84" t="s">
        <v>99</v>
      </c>
      <c r="V151" s="84" t="str">
        <f t="shared" si="14"/>
        <v>314UND22LRSCHERER-NON3097.53265005nt255.1Main Power Block - DEMO</v>
      </c>
    </row>
    <row r="152" spans="1:22" ht="15" customHeight="1" x14ac:dyDescent="0.25">
      <c r="A152" s="85" t="s">
        <v>127</v>
      </c>
      <c r="B152" s="86" t="s">
        <v>160</v>
      </c>
      <c r="C152" s="101" t="s">
        <v>148</v>
      </c>
      <c r="D152" s="85" t="s">
        <v>68</v>
      </c>
      <c r="E152" s="85" t="s">
        <v>193</v>
      </c>
      <c r="F152" s="92">
        <f>('Scherer Data'!$D$18/4)*0.05*Q152</f>
        <v>1032.5108833500003</v>
      </c>
      <c r="G152" s="85" t="s">
        <v>33</v>
      </c>
      <c r="H152" s="91">
        <f>('Scherer Data'!$E$18)</f>
        <v>255.1</v>
      </c>
      <c r="I152" s="135">
        <f>('Scherer Data'!$F$18/4)*0.05*Q152</f>
        <v>263393.52634258504</v>
      </c>
      <c r="J152" s="85" t="s">
        <v>111</v>
      </c>
      <c r="K152" s="85" t="s">
        <v>63</v>
      </c>
      <c r="L152" s="85" t="s">
        <v>63</v>
      </c>
      <c r="M152" s="85" t="str">
        <f t="shared" ref="M152:M183" si="15">J152</f>
        <v>Main Power Block - DEMO</v>
      </c>
      <c r="N152" s="84">
        <f t="shared" si="12"/>
        <v>255.1</v>
      </c>
      <c r="O152" s="87">
        <f t="shared" si="13"/>
        <v>263393.52634258504</v>
      </c>
      <c r="P152" s="88" t="s">
        <v>73</v>
      </c>
      <c r="Q152" s="147">
        <v>0.91600000000000004</v>
      </c>
      <c r="R152" s="143" t="s">
        <v>203</v>
      </c>
      <c r="S152" s="96" t="s">
        <v>143</v>
      </c>
      <c r="T152" s="84" t="s">
        <v>82</v>
      </c>
      <c r="U152" s="84" t="s">
        <v>99</v>
      </c>
      <c r="V152" s="84" t="str">
        <f t="shared" si="14"/>
        <v>315UND22LRSCHERER-NON1032.51088335nt255.1Main Power Block - DEMO</v>
      </c>
    </row>
    <row r="153" spans="1:22" ht="15" customHeight="1" x14ac:dyDescent="0.25">
      <c r="A153" s="85" t="s">
        <v>106</v>
      </c>
      <c r="B153" s="86" t="s">
        <v>152</v>
      </c>
      <c r="C153" s="101" t="s">
        <v>149</v>
      </c>
      <c r="D153" s="85" t="s">
        <v>69</v>
      </c>
      <c r="E153" s="85" t="s">
        <v>193</v>
      </c>
      <c r="F153" s="92">
        <f>('Scherer Data'!$D$18/4)*0.6*Q153</f>
        <v>10144.7575875</v>
      </c>
      <c r="G153" s="85" t="s">
        <v>33</v>
      </c>
      <c r="H153" s="91">
        <f>('Scherer Data'!$E$18)</f>
        <v>255.1</v>
      </c>
      <c r="I153" s="135">
        <f>('Scherer Data'!$F$18/4)*0.6*Q153</f>
        <v>2587927.6605712501</v>
      </c>
      <c r="J153" s="85" t="s">
        <v>111</v>
      </c>
      <c r="K153" s="85" t="s">
        <v>63</v>
      </c>
      <c r="L153" s="85" t="s">
        <v>63</v>
      </c>
      <c r="M153" s="85" t="str">
        <f t="shared" si="15"/>
        <v>Main Power Block - DEMO</v>
      </c>
      <c r="N153" s="84">
        <f t="shared" si="12"/>
        <v>255.1</v>
      </c>
      <c r="O153" s="87">
        <f t="shared" si="13"/>
        <v>2587927.6605712501</v>
      </c>
      <c r="P153" s="88" t="s">
        <v>73</v>
      </c>
      <c r="Q153" s="147">
        <v>0.75</v>
      </c>
      <c r="R153" s="143" t="s">
        <v>203</v>
      </c>
      <c r="S153" s="96" t="s">
        <v>143</v>
      </c>
      <c r="T153" s="84" t="s">
        <v>82</v>
      </c>
      <c r="U153" s="84" t="s">
        <v>99</v>
      </c>
      <c r="V153" s="84" t="str">
        <f t="shared" si="14"/>
        <v>311UND33LRSCHERER-NON10144.7575875nt255.1Main Power Block - DEMO</v>
      </c>
    </row>
    <row r="154" spans="1:22" ht="15" customHeight="1" x14ac:dyDescent="0.25">
      <c r="A154" s="85" t="s">
        <v>115</v>
      </c>
      <c r="B154" s="86" t="s">
        <v>158</v>
      </c>
      <c r="C154" s="101" t="s">
        <v>149</v>
      </c>
      <c r="D154" s="85" t="s">
        <v>69</v>
      </c>
      <c r="E154" s="85" t="s">
        <v>193</v>
      </c>
      <c r="F154" s="92">
        <f>('Scherer Data'!$D$18/4)*0.2*Q154</f>
        <v>3381.5858625000005</v>
      </c>
      <c r="G154" s="85" t="s">
        <v>33</v>
      </c>
      <c r="H154" s="91">
        <f>('Scherer Data'!$E$18)</f>
        <v>255.1</v>
      </c>
      <c r="I154" s="135">
        <f>('Scherer Data'!$F$18/4)*0.2*Q154</f>
        <v>862642.55352375016</v>
      </c>
      <c r="J154" s="85" t="s">
        <v>111</v>
      </c>
      <c r="K154" s="85" t="s">
        <v>63</v>
      </c>
      <c r="L154" s="85" t="s">
        <v>63</v>
      </c>
      <c r="M154" s="85" t="str">
        <f t="shared" si="15"/>
        <v>Main Power Block - DEMO</v>
      </c>
      <c r="N154" s="84">
        <f t="shared" si="12"/>
        <v>255.1</v>
      </c>
      <c r="O154" s="87">
        <f t="shared" si="13"/>
        <v>862642.55352375016</v>
      </c>
      <c r="P154" s="88" t="s">
        <v>73</v>
      </c>
      <c r="Q154" s="147">
        <v>0.75</v>
      </c>
      <c r="R154" s="143" t="s">
        <v>203</v>
      </c>
      <c r="S154" s="96" t="s">
        <v>143</v>
      </c>
      <c r="T154" s="84" t="s">
        <v>82</v>
      </c>
      <c r="U154" s="84" t="s">
        <v>99</v>
      </c>
      <c r="V154" s="84" t="str">
        <f t="shared" si="14"/>
        <v>312UND33LRSCHERER-NON3381.5858625nt255.1Main Power Block - DEMO</v>
      </c>
    </row>
    <row r="155" spans="1:22" ht="15" customHeight="1" x14ac:dyDescent="0.25">
      <c r="A155" s="85" t="s">
        <v>125</v>
      </c>
      <c r="B155" s="86" t="s">
        <v>159</v>
      </c>
      <c r="C155" s="101" t="s">
        <v>149</v>
      </c>
      <c r="D155" s="85" t="s">
        <v>69</v>
      </c>
      <c r="E155" s="85" t="s">
        <v>193</v>
      </c>
      <c r="F155" s="92">
        <f>('Scherer Data'!$D$18/4)*0.15*Q155</f>
        <v>2536.1893968750001</v>
      </c>
      <c r="G155" s="85" t="s">
        <v>33</v>
      </c>
      <c r="H155" s="91">
        <f>('Scherer Data'!$E$18)</f>
        <v>255.1</v>
      </c>
      <c r="I155" s="135">
        <f>('Scherer Data'!$F$18/4)*0.15*Q155</f>
        <v>646981.91514281253</v>
      </c>
      <c r="J155" s="85" t="s">
        <v>111</v>
      </c>
      <c r="K155" s="85" t="s">
        <v>63</v>
      </c>
      <c r="L155" s="85" t="s">
        <v>63</v>
      </c>
      <c r="M155" s="85" t="str">
        <f t="shared" si="15"/>
        <v>Main Power Block - DEMO</v>
      </c>
      <c r="N155" s="84">
        <f t="shared" si="12"/>
        <v>255.1</v>
      </c>
      <c r="O155" s="87">
        <f t="shared" si="13"/>
        <v>646981.91514281253</v>
      </c>
      <c r="P155" s="88" t="s">
        <v>73</v>
      </c>
      <c r="Q155" s="147">
        <v>0.75</v>
      </c>
      <c r="R155" s="143" t="s">
        <v>203</v>
      </c>
      <c r="S155" s="96" t="s">
        <v>143</v>
      </c>
      <c r="T155" s="84" t="s">
        <v>82</v>
      </c>
      <c r="U155" s="84" t="s">
        <v>99</v>
      </c>
      <c r="V155" s="84" t="str">
        <f t="shared" si="14"/>
        <v>314UND33LRSCHERER-NON2536.189396875nt255.1Main Power Block - DEMO</v>
      </c>
    </row>
    <row r="156" spans="1:22" ht="15" customHeight="1" x14ac:dyDescent="0.25">
      <c r="A156" s="85" t="s">
        <v>127</v>
      </c>
      <c r="B156" s="86" t="s">
        <v>160</v>
      </c>
      <c r="C156" s="101" t="s">
        <v>149</v>
      </c>
      <c r="D156" s="85" t="s">
        <v>69</v>
      </c>
      <c r="E156" s="85" t="s">
        <v>193</v>
      </c>
      <c r="F156" s="92">
        <f>('Scherer Data'!$D$18/4)*0.05*Q156</f>
        <v>845.39646562500013</v>
      </c>
      <c r="G156" s="85" t="s">
        <v>33</v>
      </c>
      <c r="H156" s="91">
        <f>('Scherer Data'!$E$18)</f>
        <v>255.1</v>
      </c>
      <c r="I156" s="135">
        <f>('Scherer Data'!$F$18/4)*0.05*Q156</f>
        <v>215660.63838093754</v>
      </c>
      <c r="J156" s="85" t="s">
        <v>111</v>
      </c>
      <c r="K156" s="85" t="s">
        <v>63</v>
      </c>
      <c r="L156" s="85" t="s">
        <v>63</v>
      </c>
      <c r="M156" s="85" t="str">
        <f t="shared" si="15"/>
        <v>Main Power Block - DEMO</v>
      </c>
      <c r="N156" s="84">
        <f t="shared" si="12"/>
        <v>255.1</v>
      </c>
      <c r="O156" s="87">
        <f t="shared" si="13"/>
        <v>215660.63838093754</v>
      </c>
      <c r="P156" s="88" t="s">
        <v>73</v>
      </c>
      <c r="Q156" s="147">
        <v>0.75</v>
      </c>
      <c r="R156" s="143" t="s">
        <v>203</v>
      </c>
      <c r="S156" s="96" t="s">
        <v>143</v>
      </c>
      <c r="T156" s="84" t="s">
        <v>82</v>
      </c>
      <c r="U156" s="84" t="s">
        <v>99</v>
      </c>
      <c r="V156" s="84" t="str">
        <f t="shared" si="14"/>
        <v>315UND33LRSCHERER-NON845.396465625nt255.1Main Power Block - DEMO</v>
      </c>
    </row>
    <row r="157" spans="1:22" ht="15" customHeight="1" x14ac:dyDescent="0.25">
      <c r="A157" s="85" t="s">
        <v>106</v>
      </c>
      <c r="B157" s="86" t="s">
        <v>152</v>
      </c>
      <c r="C157" s="101" t="s">
        <v>150</v>
      </c>
      <c r="D157" s="85" t="s">
        <v>70</v>
      </c>
      <c r="E157" s="85" t="s">
        <v>193</v>
      </c>
      <c r="F157" s="92">
        <f>('Scherer Data'!$D$18/4)*0.6*Q157</f>
        <v>13526.34345</v>
      </c>
      <c r="G157" s="85" t="s">
        <v>33</v>
      </c>
      <c r="H157" s="91">
        <f>('Scherer Data'!$E$18)</f>
        <v>255.1</v>
      </c>
      <c r="I157" s="135">
        <f>('Scherer Data'!$F$18/4)*0.6*Q157</f>
        <v>3450570.2140950002</v>
      </c>
      <c r="J157" s="85" t="s">
        <v>111</v>
      </c>
      <c r="K157" s="85" t="s">
        <v>63</v>
      </c>
      <c r="L157" s="85" t="s">
        <v>63</v>
      </c>
      <c r="M157" s="85" t="str">
        <f t="shared" si="15"/>
        <v>Main Power Block - DEMO</v>
      </c>
      <c r="N157" s="84">
        <f t="shared" si="12"/>
        <v>255.1</v>
      </c>
      <c r="O157" s="87">
        <f t="shared" si="13"/>
        <v>3450570.2140950002</v>
      </c>
      <c r="P157" s="88" t="s">
        <v>73</v>
      </c>
      <c r="Q157" s="147">
        <v>1</v>
      </c>
      <c r="R157" s="143" t="s">
        <v>203</v>
      </c>
      <c r="S157" s="96" t="s">
        <v>143</v>
      </c>
      <c r="T157" s="84" t="s">
        <v>82</v>
      </c>
      <c r="U157" s="84" t="s">
        <v>99</v>
      </c>
      <c r="V157" s="84" t="str">
        <f t="shared" si="14"/>
        <v>311UND44LRSCHERER-NON13526.34345nt255.1Main Power Block - DEMO</v>
      </c>
    </row>
    <row r="158" spans="1:22" ht="15" customHeight="1" x14ac:dyDescent="0.25">
      <c r="A158" s="85" t="s">
        <v>115</v>
      </c>
      <c r="B158" s="86" t="s">
        <v>158</v>
      </c>
      <c r="C158" s="101" t="s">
        <v>150</v>
      </c>
      <c r="D158" s="85" t="s">
        <v>70</v>
      </c>
      <c r="E158" s="85" t="s">
        <v>193</v>
      </c>
      <c r="F158" s="92">
        <f>('Scherer Data'!$D$18/4)*0.2*Q158</f>
        <v>4508.7811500000007</v>
      </c>
      <c r="G158" s="85" t="s">
        <v>33</v>
      </c>
      <c r="H158" s="91">
        <f>('Scherer Data'!$E$18)</f>
        <v>255.1</v>
      </c>
      <c r="I158" s="135">
        <f>('Scherer Data'!$F$18/4)*0.2*Q158</f>
        <v>1150190.0713650002</v>
      </c>
      <c r="J158" s="85" t="s">
        <v>111</v>
      </c>
      <c r="K158" s="85" t="s">
        <v>63</v>
      </c>
      <c r="L158" s="85" t="s">
        <v>63</v>
      </c>
      <c r="M158" s="85" t="str">
        <f t="shared" si="15"/>
        <v>Main Power Block - DEMO</v>
      </c>
      <c r="N158" s="84">
        <f t="shared" si="12"/>
        <v>255.1</v>
      </c>
      <c r="O158" s="87">
        <f t="shared" si="13"/>
        <v>1150190.0713650002</v>
      </c>
      <c r="P158" s="88" t="s">
        <v>73</v>
      </c>
      <c r="Q158" s="147">
        <v>1</v>
      </c>
      <c r="R158" s="143" t="s">
        <v>203</v>
      </c>
      <c r="S158" s="96" t="s">
        <v>143</v>
      </c>
      <c r="T158" s="84" t="s">
        <v>82</v>
      </c>
      <c r="U158" s="84" t="s">
        <v>99</v>
      </c>
      <c r="V158" s="84" t="str">
        <f t="shared" si="14"/>
        <v>312UND44LRSCHERER-NON4508.78115nt255.1Main Power Block - DEMO</v>
      </c>
    </row>
    <row r="159" spans="1:22" ht="15" customHeight="1" x14ac:dyDescent="0.25">
      <c r="A159" s="85" t="s">
        <v>125</v>
      </c>
      <c r="B159" s="86" t="s">
        <v>159</v>
      </c>
      <c r="C159" s="101" t="s">
        <v>150</v>
      </c>
      <c r="D159" s="85" t="s">
        <v>70</v>
      </c>
      <c r="E159" s="85" t="s">
        <v>193</v>
      </c>
      <c r="F159" s="92">
        <f>('Scherer Data'!$D$18/4)*0.15*Q159</f>
        <v>3381.5858625000001</v>
      </c>
      <c r="G159" s="85" t="s">
        <v>33</v>
      </c>
      <c r="H159" s="91">
        <f>('Scherer Data'!$E$18)</f>
        <v>255.1</v>
      </c>
      <c r="I159" s="135">
        <f>('Scherer Data'!$F$18/4)*0.15*Q159</f>
        <v>862642.55352375004</v>
      </c>
      <c r="J159" s="85" t="s">
        <v>111</v>
      </c>
      <c r="K159" s="85" t="s">
        <v>63</v>
      </c>
      <c r="L159" s="85" t="s">
        <v>63</v>
      </c>
      <c r="M159" s="85" t="str">
        <f t="shared" si="15"/>
        <v>Main Power Block - DEMO</v>
      </c>
      <c r="N159" s="84">
        <f t="shared" si="12"/>
        <v>255.1</v>
      </c>
      <c r="O159" s="87">
        <f t="shared" si="13"/>
        <v>862642.55352375004</v>
      </c>
      <c r="P159" s="88" t="s">
        <v>73</v>
      </c>
      <c r="Q159" s="147">
        <v>1</v>
      </c>
      <c r="R159" s="143" t="s">
        <v>203</v>
      </c>
      <c r="S159" s="96" t="s">
        <v>143</v>
      </c>
      <c r="T159" s="84" t="s">
        <v>82</v>
      </c>
      <c r="U159" s="84" t="s">
        <v>99</v>
      </c>
      <c r="V159" s="84" t="str">
        <f t="shared" si="14"/>
        <v>314UND44LRSCHERER-NON3381.5858625nt255.1Main Power Block - DEMO</v>
      </c>
    </row>
    <row r="160" spans="1:22" ht="15" customHeight="1" x14ac:dyDescent="0.25">
      <c r="A160" s="85" t="s">
        <v>127</v>
      </c>
      <c r="B160" s="86" t="s">
        <v>160</v>
      </c>
      <c r="C160" s="101" t="s">
        <v>150</v>
      </c>
      <c r="D160" s="85" t="s">
        <v>70</v>
      </c>
      <c r="E160" s="85" t="s">
        <v>193</v>
      </c>
      <c r="F160" s="92">
        <f>('Scherer Data'!$D$18/4)*0.05*Q160</f>
        <v>1127.1952875000002</v>
      </c>
      <c r="G160" s="85" t="s">
        <v>33</v>
      </c>
      <c r="H160" s="91">
        <f>('Scherer Data'!$E$18)</f>
        <v>255.1</v>
      </c>
      <c r="I160" s="135">
        <f>('Scherer Data'!$F$18/4)*0.05*Q160</f>
        <v>287547.51784125005</v>
      </c>
      <c r="J160" s="85" t="s">
        <v>111</v>
      </c>
      <c r="K160" s="85" t="s">
        <v>63</v>
      </c>
      <c r="L160" s="85" t="s">
        <v>63</v>
      </c>
      <c r="M160" s="85" t="str">
        <f t="shared" si="15"/>
        <v>Main Power Block - DEMO</v>
      </c>
      <c r="N160" s="84">
        <f t="shared" si="12"/>
        <v>255.1</v>
      </c>
      <c r="O160" s="87">
        <f t="shared" si="13"/>
        <v>287547.51784125005</v>
      </c>
      <c r="P160" s="88" t="s">
        <v>73</v>
      </c>
      <c r="Q160" s="147">
        <v>1</v>
      </c>
      <c r="R160" s="143" t="s">
        <v>203</v>
      </c>
      <c r="S160" s="96" t="s">
        <v>143</v>
      </c>
      <c r="T160" s="84" t="s">
        <v>82</v>
      </c>
      <c r="U160" s="84" t="s">
        <v>99</v>
      </c>
      <c r="V160" s="84" t="str">
        <f t="shared" si="14"/>
        <v>315UND44LRSCHERER-NON1127.1952875nt255.1Main Power Block - DEMO</v>
      </c>
    </row>
    <row r="161" spans="1:22" ht="15" customHeight="1" x14ac:dyDescent="0.25">
      <c r="A161" s="100" t="s">
        <v>125</v>
      </c>
      <c r="B161" s="86" t="s">
        <v>159</v>
      </c>
      <c r="C161" s="101" t="s">
        <v>147</v>
      </c>
      <c r="D161" s="102" t="s">
        <v>67</v>
      </c>
      <c r="E161" s="85" t="s">
        <v>193</v>
      </c>
      <c r="F161" s="102">
        <f>'Scherer Data'!$D$27/4*Q161</f>
        <v>8.4000000000000005E-2</v>
      </c>
      <c r="G161" s="102" t="s">
        <v>42</v>
      </c>
      <c r="H161" s="103">
        <f>'Scherer Data'!$E$27</f>
        <v>1650000</v>
      </c>
      <c r="I161" s="136">
        <f>'Scherer Data'!$F$27/4*Q161</f>
        <v>138600</v>
      </c>
      <c r="J161" s="102" t="s">
        <v>177</v>
      </c>
      <c r="K161" s="102"/>
      <c r="L161" s="102"/>
      <c r="M161" s="85" t="str">
        <f t="shared" si="15"/>
        <v>Main Power Block - Demo (2) Hyperbolic Cooling Towers</v>
      </c>
      <c r="N161" s="167">
        <f t="shared" si="12"/>
        <v>1650000</v>
      </c>
      <c r="O161" s="103">
        <f t="shared" si="13"/>
        <v>138600</v>
      </c>
      <c r="P161" s="167" t="s">
        <v>73</v>
      </c>
      <c r="Q161" s="147">
        <v>8.4000000000000005E-2</v>
      </c>
      <c r="R161" s="143" t="s">
        <v>203</v>
      </c>
      <c r="S161" s="144" t="s">
        <v>143</v>
      </c>
      <c r="T161" s="167" t="s">
        <v>82</v>
      </c>
      <c r="U161" s="167" t="s">
        <v>99</v>
      </c>
      <c r="V161" s="84" t="str">
        <f t="shared" si="14"/>
        <v>314UND11LRSCHERER-NON0.084ea1650000Main Power Block - Demo (2) Hyperbolic Cooling Towers</v>
      </c>
    </row>
    <row r="162" spans="1:22" ht="15" customHeight="1" x14ac:dyDescent="0.25">
      <c r="A162" s="100" t="s">
        <v>125</v>
      </c>
      <c r="B162" s="86" t="s">
        <v>159</v>
      </c>
      <c r="C162" s="101" t="s">
        <v>148</v>
      </c>
      <c r="D162" s="102" t="s">
        <v>68</v>
      </c>
      <c r="E162" s="85" t="s">
        <v>193</v>
      </c>
      <c r="F162" s="102">
        <f>'Scherer Data'!$D$27/4*Q162</f>
        <v>8.4000000000000005E-2</v>
      </c>
      <c r="G162" s="102" t="s">
        <v>42</v>
      </c>
      <c r="H162" s="103">
        <f>'Scherer Data'!$E$27</f>
        <v>1650000</v>
      </c>
      <c r="I162" s="136">
        <f>'Scherer Data'!$F$27/4*Q162</f>
        <v>138600</v>
      </c>
      <c r="J162" s="102" t="s">
        <v>177</v>
      </c>
      <c r="K162" s="102"/>
      <c r="L162" s="102"/>
      <c r="M162" s="85" t="str">
        <f t="shared" si="15"/>
        <v>Main Power Block - Demo (2) Hyperbolic Cooling Towers</v>
      </c>
      <c r="N162" s="167">
        <f t="shared" si="12"/>
        <v>1650000</v>
      </c>
      <c r="O162" s="103">
        <f t="shared" si="13"/>
        <v>138600</v>
      </c>
      <c r="P162" s="167" t="s">
        <v>73</v>
      </c>
      <c r="Q162" s="147">
        <v>8.4000000000000005E-2</v>
      </c>
      <c r="R162" s="143" t="s">
        <v>203</v>
      </c>
      <c r="S162" s="144" t="s">
        <v>143</v>
      </c>
      <c r="T162" s="167" t="s">
        <v>82</v>
      </c>
      <c r="U162" s="167" t="s">
        <v>99</v>
      </c>
      <c r="V162" s="84" t="str">
        <f t="shared" si="14"/>
        <v>314UND22LRSCHERER-NON0.084ea1650000Main Power Block - Demo (2) Hyperbolic Cooling Towers</v>
      </c>
    </row>
    <row r="163" spans="1:22" ht="15" customHeight="1" x14ac:dyDescent="0.25">
      <c r="A163" s="100" t="s">
        <v>125</v>
      </c>
      <c r="B163" s="86" t="s">
        <v>159</v>
      </c>
      <c r="C163" s="101" t="s">
        <v>147</v>
      </c>
      <c r="D163" s="102" t="s">
        <v>67</v>
      </c>
      <c r="E163" s="85" t="s">
        <v>193</v>
      </c>
      <c r="F163" s="102">
        <f>'Scherer Data'!$D$27/4*Q163</f>
        <v>0.91600000000000004</v>
      </c>
      <c r="G163" s="102" t="s">
        <v>42</v>
      </c>
      <c r="H163" s="103">
        <f>'Scherer Data'!$E$27</f>
        <v>1650000</v>
      </c>
      <c r="I163" s="136">
        <f>'Scherer Data'!$F$27/4*Q163</f>
        <v>1511400</v>
      </c>
      <c r="J163" s="102" t="s">
        <v>177</v>
      </c>
      <c r="K163" s="102"/>
      <c r="L163" s="102"/>
      <c r="M163" s="85" t="str">
        <f t="shared" si="15"/>
        <v>Main Power Block - Demo (2) Hyperbolic Cooling Towers</v>
      </c>
      <c r="N163" s="167">
        <f t="shared" si="12"/>
        <v>1650000</v>
      </c>
      <c r="O163" s="103">
        <f t="shared" si="13"/>
        <v>1511400</v>
      </c>
      <c r="P163" s="167" t="s">
        <v>73</v>
      </c>
      <c r="Q163" s="147">
        <v>0.91600000000000004</v>
      </c>
      <c r="R163" s="143" t="s">
        <v>203</v>
      </c>
      <c r="S163" s="144" t="s">
        <v>143</v>
      </c>
      <c r="T163" s="167" t="s">
        <v>82</v>
      </c>
      <c r="U163" s="167" t="s">
        <v>99</v>
      </c>
      <c r="V163" s="84" t="str">
        <f t="shared" si="14"/>
        <v>314UND11LRSCHERER-NON0.916ea1650000Main Power Block - Demo (2) Hyperbolic Cooling Towers</v>
      </c>
    </row>
    <row r="164" spans="1:22" ht="15" customHeight="1" x14ac:dyDescent="0.25">
      <c r="A164" s="100" t="s">
        <v>125</v>
      </c>
      <c r="B164" s="86" t="s">
        <v>159</v>
      </c>
      <c r="C164" s="101" t="s">
        <v>148</v>
      </c>
      <c r="D164" s="102" t="s">
        <v>68</v>
      </c>
      <c r="E164" s="85" t="s">
        <v>193</v>
      </c>
      <c r="F164" s="102">
        <f>'Scherer Data'!$D$27/4*Q164</f>
        <v>0.91600000000000004</v>
      </c>
      <c r="G164" s="102" t="s">
        <v>42</v>
      </c>
      <c r="H164" s="103">
        <f>'Scherer Data'!$E$27</f>
        <v>1650000</v>
      </c>
      <c r="I164" s="136">
        <f>'Scherer Data'!$F$27/4*Q164</f>
        <v>1511400</v>
      </c>
      <c r="J164" s="102" t="s">
        <v>177</v>
      </c>
      <c r="K164" s="102"/>
      <c r="L164" s="102"/>
      <c r="M164" s="85" t="str">
        <f t="shared" si="15"/>
        <v>Main Power Block - Demo (2) Hyperbolic Cooling Towers</v>
      </c>
      <c r="N164" s="167">
        <f t="shared" si="12"/>
        <v>1650000</v>
      </c>
      <c r="O164" s="103">
        <f t="shared" si="13"/>
        <v>1511400</v>
      </c>
      <c r="P164" s="167" t="s">
        <v>73</v>
      </c>
      <c r="Q164" s="147">
        <v>0.91600000000000004</v>
      </c>
      <c r="R164" s="143" t="s">
        <v>203</v>
      </c>
      <c r="S164" s="144" t="s">
        <v>143</v>
      </c>
      <c r="T164" s="167" t="s">
        <v>82</v>
      </c>
      <c r="U164" s="167" t="s">
        <v>99</v>
      </c>
      <c r="V164" s="84" t="str">
        <f t="shared" si="14"/>
        <v>314UND22LRSCHERER-NON0.916ea1650000Main Power Block - Demo (2) Hyperbolic Cooling Towers</v>
      </c>
    </row>
    <row r="165" spans="1:22" ht="15" customHeight="1" x14ac:dyDescent="0.25">
      <c r="A165" s="100" t="s">
        <v>125</v>
      </c>
      <c r="B165" s="86" t="s">
        <v>159</v>
      </c>
      <c r="C165" s="101" t="s">
        <v>149</v>
      </c>
      <c r="D165" s="102" t="s">
        <v>69</v>
      </c>
      <c r="E165" s="85" t="s">
        <v>193</v>
      </c>
      <c r="F165" s="102">
        <f>'Scherer Data'!$D$27/4*Q165</f>
        <v>0.75</v>
      </c>
      <c r="G165" s="102" t="s">
        <v>42</v>
      </c>
      <c r="H165" s="103">
        <f>'Scherer Data'!$E$27</f>
        <v>1650000</v>
      </c>
      <c r="I165" s="136">
        <f>'Scherer Data'!$F$27/4*Q165</f>
        <v>1237500</v>
      </c>
      <c r="J165" s="102" t="s">
        <v>177</v>
      </c>
      <c r="K165" s="102"/>
      <c r="L165" s="102"/>
      <c r="M165" s="85" t="str">
        <f t="shared" si="15"/>
        <v>Main Power Block - Demo (2) Hyperbolic Cooling Towers</v>
      </c>
      <c r="N165" s="167">
        <f t="shared" si="12"/>
        <v>1650000</v>
      </c>
      <c r="O165" s="103">
        <f t="shared" si="13"/>
        <v>1237500</v>
      </c>
      <c r="P165" s="167" t="s">
        <v>73</v>
      </c>
      <c r="Q165" s="147">
        <v>0.75</v>
      </c>
      <c r="R165" s="143" t="s">
        <v>203</v>
      </c>
      <c r="S165" s="144" t="s">
        <v>143</v>
      </c>
      <c r="T165" s="167" t="s">
        <v>82</v>
      </c>
      <c r="U165" s="167" t="s">
        <v>99</v>
      </c>
      <c r="V165" s="84" t="str">
        <f t="shared" si="14"/>
        <v>314UND33LRSCHERER-NON0.75ea1650000Main Power Block - Demo (2) Hyperbolic Cooling Towers</v>
      </c>
    </row>
    <row r="166" spans="1:22" ht="15" customHeight="1" x14ac:dyDescent="0.25">
      <c r="A166" s="100" t="s">
        <v>125</v>
      </c>
      <c r="B166" s="86" t="s">
        <v>159</v>
      </c>
      <c r="C166" s="101" t="s">
        <v>150</v>
      </c>
      <c r="D166" s="102" t="s">
        <v>70</v>
      </c>
      <c r="E166" s="85" t="s">
        <v>193</v>
      </c>
      <c r="F166" s="102">
        <f>'Scherer Data'!$D$27/4*Q166</f>
        <v>1</v>
      </c>
      <c r="G166" s="102" t="s">
        <v>42</v>
      </c>
      <c r="H166" s="103">
        <f>'Scherer Data'!$E$27</f>
        <v>1650000</v>
      </c>
      <c r="I166" s="136">
        <f>'Scherer Data'!$F$27/4*Q166</f>
        <v>1650000</v>
      </c>
      <c r="J166" s="102" t="s">
        <v>177</v>
      </c>
      <c r="K166" s="102"/>
      <c r="L166" s="102"/>
      <c r="M166" s="85" t="str">
        <f t="shared" si="15"/>
        <v>Main Power Block - Demo (2) Hyperbolic Cooling Towers</v>
      </c>
      <c r="N166" s="167">
        <f t="shared" si="12"/>
        <v>1650000</v>
      </c>
      <c r="O166" s="103">
        <f t="shared" si="13"/>
        <v>1650000</v>
      </c>
      <c r="P166" s="167" t="s">
        <v>73</v>
      </c>
      <c r="Q166" s="147">
        <v>1</v>
      </c>
      <c r="R166" s="143" t="s">
        <v>203</v>
      </c>
      <c r="S166" s="144" t="s">
        <v>143</v>
      </c>
      <c r="T166" s="167" t="s">
        <v>82</v>
      </c>
      <c r="U166" s="167" t="s">
        <v>99</v>
      </c>
      <c r="V166" s="84" t="str">
        <f t="shared" si="14"/>
        <v>314UND44LRSCHERER-NON1ea1650000Main Power Block - Demo (2) Hyperbolic Cooling Towers</v>
      </c>
    </row>
    <row r="167" spans="1:22" ht="15" customHeight="1" x14ac:dyDescent="0.25">
      <c r="A167" s="85" t="s">
        <v>106</v>
      </c>
      <c r="B167" s="86" t="s">
        <v>152</v>
      </c>
      <c r="C167" s="101" t="s">
        <v>147</v>
      </c>
      <c r="D167" s="85" t="s">
        <v>112</v>
      </c>
      <c r="E167" s="85" t="s">
        <v>193</v>
      </c>
      <c r="F167" s="92">
        <f>('Scherer Data'!$D$19/4)*0.6*Q167</f>
        <v>1136.2128498000002</v>
      </c>
      <c r="G167" s="85" t="s">
        <v>33</v>
      </c>
      <c r="H167" s="91">
        <f>'Scherer Data'!$E$19</f>
        <v>-108.3695731319762</v>
      </c>
      <c r="I167" s="135">
        <f>('Scherer Data'!$F$19/4)*0.6*Q167</f>
        <v>-123130.90151989218</v>
      </c>
      <c r="J167" s="85" t="s">
        <v>113</v>
      </c>
      <c r="K167" s="85" t="s">
        <v>110</v>
      </c>
      <c r="L167" s="85" t="s">
        <v>63</v>
      </c>
      <c r="M167" s="85" t="str">
        <f t="shared" si="15"/>
        <v>Main Power Block - FE Sales</v>
      </c>
      <c r="N167" s="84">
        <f t="shared" si="12"/>
        <v>-108.3695731319762</v>
      </c>
      <c r="O167" s="87">
        <f t="shared" si="13"/>
        <v>-123130.90151989218</v>
      </c>
      <c r="P167" s="88" t="s">
        <v>73</v>
      </c>
      <c r="Q167" s="147">
        <v>8.4000000000000005E-2</v>
      </c>
      <c r="R167" s="143" t="s">
        <v>203</v>
      </c>
      <c r="S167" s="96" t="s">
        <v>145</v>
      </c>
      <c r="T167" s="84" t="s">
        <v>82</v>
      </c>
      <c r="U167" s="84" t="s">
        <v>99</v>
      </c>
      <c r="V167" s="84" t="str">
        <f t="shared" si="14"/>
        <v>311UND11MSSCHERER-NON1136.2128498nt-108.369573131976Main Power Block - FE Sales</v>
      </c>
    </row>
    <row r="168" spans="1:22" ht="15" customHeight="1" x14ac:dyDescent="0.25">
      <c r="A168" s="85" t="s">
        <v>115</v>
      </c>
      <c r="B168" s="86" t="s">
        <v>158</v>
      </c>
      <c r="C168" s="101" t="s">
        <v>147</v>
      </c>
      <c r="D168" s="85" t="s">
        <v>112</v>
      </c>
      <c r="E168" s="85" t="s">
        <v>193</v>
      </c>
      <c r="F168" s="92">
        <f>('Scherer Data'!$D$19/4)*0.25*Q168</f>
        <v>473.42202075000006</v>
      </c>
      <c r="G168" s="85" t="s">
        <v>33</v>
      </c>
      <c r="H168" s="91">
        <f>'Scherer Data'!$E$19</f>
        <v>-108.3695731319762</v>
      </c>
      <c r="I168" s="135">
        <f>('Scherer Data'!$F$19/4)*0.25*Q168</f>
        <v>-51304.542299955079</v>
      </c>
      <c r="J168" s="85" t="s">
        <v>113</v>
      </c>
      <c r="K168" s="85" t="s">
        <v>110</v>
      </c>
      <c r="L168" s="85" t="s">
        <v>63</v>
      </c>
      <c r="M168" s="85" t="str">
        <f t="shared" si="15"/>
        <v>Main Power Block - FE Sales</v>
      </c>
      <c r="N168" s="84">
        <f t="shared" si="12"/>
        <v>-108.3695731319762</v>
      </c>
      <c r="O168" s="87">
        <f t="shared" si="13"/>
        <v>-51304.542299955079</v>
      </c>
      <c r="P168" s="88" t="s">
        <v>73</v>
      </c>
      <c r="Q168" s="147">
        <v>8.4000000000000005E-2</v>
      </c>
      <c r="R168" s="143" t="s">
        <v>203</v>
      </c>
      <c r="S168" s="96" t="s">
        <v>145</v>
      </c>
      <c r="T168" s="84" t="s">
        <v>82</v>
      </c>
      <c r="U168" s="84" t="s">
        <v>99</v>
      </c>
      <c r="V168" s="84" t="str">
        <f t="shared" si="14"/>
        <v>312UND11MSSCHERER-NON473.42202075nt-108.369573131976Main Power Block - FE Sales</v>
      </c>
    </row>
    <row r="169" spans="1:22" ht="15" customHeight="1" x14ac:dyDescent="0.25">
      <c r="A169" s="85" t="s">
        <v>125</v>
      </c>
      <c r="B169" s="86" t="s">
        <v>159</v>
      </c>
      <c r="C169" s="101" t="s">
        <v>147</v>
      </c>
      <c r="D169" s="85" t="s">
        <v>112</v>
      </c>
      <c r="E169" s="85" t="s">
        <v>193</v>
      </c>
      <c r="F169" s="92">
        <f>('Scherer Data'!$D$19/4)*0.15*Q169</f>
        <v>284.05321245000005</v>
      </c>
      <c r="G169" s="85" t="s">
        <v>33</v>
      </c>
      <c r="H169" s="91">
        <f>'Scherer Data'!$E$19</f>
        <v>-108.3695731319762</v>
      </c>
      <c r="I169" s="135">
        <f>('Scherer Data'!$F$19/4)*0.15*Q169</f>
        <v>-30782.725379973046</v>
      </c>
      <c r="J169" s="85" t="s">
        <v>113</v>
      </c>
      <c r="K169" s="85" t="s">
        <v>110</v>
      </c>
      <c r="L169" s="85" t="s">
        <v>63</v>
      </c>
      <c r="M169" s="85" t="str">
        <f t="shared" si="15"/>
        <v>Main Power Block - FE Sales</v>
      </c>
      <c r="N169" s="84">
        <f t="shared" si="12"/>
        <v>-108.3695731319762</v>
      </c>
      <c r="O169" s="87">
        <f t="shared" si="13"/>
        <v>-30782.725379973046</v>
      </c>
      <c r="P169" s="88" t="s">
        <v>73</v>
      </c>
      <c r="Q169" s="147">
        <v>8.4000000000000005E-2</v>
      </c>
      <c r="R169" s="143" t="s">
        <v>203</v>
      </c>
      <c r="S169" s="96" t="s">
        <v>145</v>
      </c>
      <c r="T169" s="84" t="s">
        <v>82</v>
      </c>
      <c r="U169" s="84" t="s">
        <v>99</v>
      </c>
      <c r="V169" s="84" t="str">
        <f t="shared" si="14"/>
        <v>314UND11MSSCHERER-NON284.05321245nt-108.369573131976Main Power Block - FE Sales</v>
      </c>
    </row>
    <row r="170" spans="1:22" x14ac:dyDescent="0.25">
      <c r="A170" s="85" t="s">
        <v>106</v>
      </c>
      <c r="B170" s="86" t="s">
        <v>152</v>
      </c>
      <c r="C170" s="101" t="s">
        <v>148</v>
      </c>
      <c r="D170" s="85" t="s">
        <v>114</v>
      </c>
      <c r="E170" s="85" t="s">
        <v>193</v>
      </c>
      <c r="F170" s="92">
        <f>('Scherer Data'!$D$19/4)*0.6*Q170</f>
        <v>1136.2128498000002</v>
      </c>
      <c r="G170" s="85" t="s">
        <v>33</v>
      </c>
      <c r="H170" s="91">
        <f>'Scherer Data'!$E$19</f>
        <v>-108.3695731319762</v>
      </c>
      <c r="I170" s="135">
        <f>('Scherer Data'!$F$19/4)*0.6*Q170</f>
        <v>-123130.90151989218</v>
      </c>
      <c r="J170" s="85" t="s">
        <v>113</v>
      </c>
      <c r="K170" s="85" t="s">
        <v>110</v>
      </c>
      <c r="L170" s="85" t="s">
        <v>63</v>
      </c>
      <c r="M170" s="85" t="str">
        <f t="shared" si="15"/>
        <v>Main Power Block - FE Sales</v>
      </c>
      <c r="N170" s="84">
        <f t="shared" si="12"/>
        <v>-108.3695731319762</v>
      </c>
      <c r="O170" s="87">
        <f t="shared" si="13"/>
        <v>-123130.90151989218</v>
      </c>
      <c r="P170" s="88" t="s">
        <v>73</v>
      </c>
      <c r="Q170" s="147">
        <v>8.4000000000000005E-2</v>
      </c>
      <c r="R170" s="143" t="s">
        <v>203</v>
      </c>
      <c r="S170" s="96" t="s">
        <v>145</v>
      </c>
      <c r="T170" s="84" t="s">
        <v>82</v>
      </c>
      <c r="U170" s="84" t="s">
        <v>99</v>
      </c>
      <c r="V170" s="84" t="str">
        <f t="shared" si="14"/>
        <v>311UND22MSSCHERER-NON1136.2128498nt-108.369573131976Main Power Block - FE Sales</v>
      </c>
    </row>
    <row r="171" spans="1:22" x14ac:dyDescent="0.25">
      <c r="A171" s="85" t="s">
        <v>115</v>
      </c>
      <c r="B171" s="86" t="s">
        <v>158</v>
      </c>
      <c r="C171" s="101" t="s">
        <v>148</v>
      </c>
      <c r="D171" s="85" t="s">
        <v>114</v>
      </c>
      <c r="E171" s="85" t="s">
        <v>193</v>
      </c>
      <c r="F171" s="92">
        <f>('Scherer Data'!$D$19/4)*0.25*Q171</f>
        <v>473.42202075000006</v>
      </c>
      <c r="G171" s="85" t="s">
        <v>33</v>
      </c>
      <c r="H171" s="91">
        <f>'Scherer Data'!$E$19</f>
        <v>-108.3695731319762</v>
      </c>
      <c r="I171" s="135">
        <f>('Scherer Data'!$F$19/4)*0.25*Q171</f>
        <v>-51304.542299955079</v>
      </c>
      <c r="J171" s="85" t="s">
        <v>113</v>
      </c>
      <c r="K171" s="85" t="s">
        <v>110</v>
      </c>
      <c r="L171" s="85" t="s">
        <v>63</v>
      </c>
      <c r="M171" s="85" t="str">
        <f t="shared" si="15"/>
        <v>Main Power Block - FE Sales</v>
      </c>
      <c r="N171" s="84">
        <f t="shared" si="12"/>
        <v>-108.3695731319762</v>
      </c>
      <c r="O171" s="87">
        <f t="shared" si="13"/>
        <v>-51304.542299955079</v>
      </c>
      <c r="P171" s="88" t="s">
        <v>73</v>
      </c>
      <c r="Q171" s="147">
        <v>8.4000000000000005E-2</v>
      </c>
      <c r="R171" s="143" t="s">
        <v>203</v>
      </c>
      <c r="S171" s="96" t="s">
        <v>145</v>
      </c>
      <c r="T171" s="84" t="s">
        <v>82</v>
      </c>
      <c r="U171" s="84" t="s">
        <v>99</v>
      </c>
      <c r="V171" s="84" t="str">
        <f t="shared" si="14"/>
        <v>312UND22MSSCHERER-NON473.42202075nt-108.369573131976Main Power Block - FE Sales</v>
      </c>
    </row>
    <row r="172" spans="1:22" x14ac:dyDescent="0.25">
      <c r="A172" s="85" t="s">
        <v>125</v>
      </c>
      <c r="B172" s="86" t="s">
        <v>159</v>
      </c>
      <c r="C172" s="101" t="s">
        <v>148</v>
      </c>
      <c r="D172" s="85" t="s">
        <v>114</v>
      </c>
      <c r="E172" s="85" t="s">
        <v>193</v>
      </c>
      <c r="F172" s="92">
        <f>('Scherer Data'!$D$19/4)*0.15*Q172</f>
        <v>284.05321245000005</v>
      </c>
      <c r="G172" s="85" t="s">
        <v>33</v>
      </c>
      <c r="H172" s="91">
        <f>'Scherer Data'!$E$19</f>
        <v>-108.3695731319762</v>
      </c>
      <c r="I172" s="135">
        <f>('Scherer Data'!$F$19/4)*0.15*Q172</f>
        <v>-30782.725379973046</v>
      </c>
      <c r="J172" s="85" t="s">
        <v>113</v>
      </c>
      <c r="K172" s="85" t="s">
        <v>110</v>
      </c>
      <c r="L172" s="85" t="s">
        <v>63</v>
      </c>
      <c r="M172" s="85" t="str">
        <f t="shared" si="15"/>
        <v>Main Power Block - FE Sales</v>
      </c>
      <c r="N172" s="84">
        <f t="shared" si="12"/>
        <v>-108.3695731319762</v>
      </c>
      <c r="O172" s="87">
        <f t="shared" si="13"/>
        <v>-30782.725379973046</v>
      </c>
      <c r="P172" s="88" t="s">
        <v>73</v>
      </c>
      <c r="Q172" s="147">
        <v>8.4000000000000005E-2</v>
      </c>
      <c r="R172" s="143" t="s">
        <v>203</v>
      </c>
      <c r="S172" s="96" t="s">
        <v>145</v>
      </c>
      <c r="T172" s="84" t="s">
        <v>82</v>
      </c>
      <c r="U172" s="84" t="s">
        <v>99</v>
      </c>
      <c r="V172" s="84" t="str">
        <f t="shared" si="14"/>
        <v>314UND22MSSCHERER-NON284.05321245nt-108.369573131976Main Power Block - FE Sales</v>
      </c>
    </row>
    <row r="173" spans="1:22" x14ac:dyDescent="0.25">
      <c r="A173" s="85" t="s">
        <v>106</v>
      </c>
      <c r="B173" s="86" t="s">
        <v>152</v>
      </c>
      <c r="C173" s="101" t="s">
        <v>147</v>
      </c>
      <c r="D173" s="85" t="s">
        <v>112</v>
      </c>
      <c r="E173" s="85" t="s">
        <v>193</v>
      </c>
      <c r="F173" s="92">
        <f>('Scherer Data'!$D$19/4)*0.6*Q173</f>
        <v>12390.1306002</v>
      </c>
      <c r="G173" s="85" t="s">
        <v>33</v>
      </c>
      <c r="H173" s="91">
        <f>'Scherer Data'!$E$19</f>
        <v>-108.3695731319762</v>
      </c>
      <c r="I173" s="135">
        <f>('Scherer Data'!$F$19/4)*0.6*Q173</f>
        <v>-1342713.1641931101</v>
      </c>
      <c r="J173" s="85" t="s">
        <v>113</v>
      </c>
      <c r="K173" s="85" t="s">
        <v>110</v>
      </c>
      <c r="L173" s="85" t="s">
        <v>63</v>
      </c>
      <c r="M173" s="85" t="str">
        <f t="shared" si="15"/>
        <v>Main Power Block - FE Sales</v>
      </c>
      <c r="N173" s="84">
        <f t="shared" si="12"/>
        <v>-108.3695731319762</v>
      </c>
      <c r="O173" s="87">
        <f t="shared" si="13"/>
        <v>-1342713.1641931101</v>
      </c>
      <c r="P173" s="88" t="s">
        <v>73</v>
      </c>
      <c r="Q173" s="147">
        <v>0.91600000000000004</v>
      </c>
      <c r="R173" s="143" t="s">
        <v>203</v>
      </c>
      <c r="S173" s="96" t="s">
        <v>145</v>
      </c>
      <c r="T173" s="84" t="s">
        <v>82</v>
      </c>
      <c r="U173" s="84" t="s">
        <v>99</v>
      </c>
      <c r="V173" s="84" t="str">
        <f t="shared" si="14"/>
        <v>311UND11MSSCHERER-NON12390.1306002nt-108.369573131976Main Power Block - FE Sales</v>
      </c>
    </row>
    <row r="174" spans="1:22" x14ac:dyDescent="0.25">
      <c r="A174" s="85" t="s">
        <v>115</v>
      </c>
      <c r="B174" s="86" t="s">
        <v>158</v>
      </c>
      <c r="C174" s="101" t="s">
        <v>147</v>
      </c>
      <c r="D174" s="85" t="s">
        <v>112</v>
      </c>
      <c r="E174" s="85" t="s">
        <v>193</v>
      </c>
      <c r="F174" s="92">
        <f>('Scherer Data'!$D$19/4)*0.25*Q174</f>
        <v>5162.5544167500002</v>
      </c>
      <c r="G174" s="85" t="s">
        <v>33</v>
      </c>
      <c r="H174" s="91">
        <f>'Scherer Data'!$E$19</f>
        <v>-108.3695731319762</v>
      </c>
      <c r="I174" s="135">
        <f>('Scherer Data'!$F$19/4)*0.25*Q174</f>
        <v>-559463.8184137959</v>
      </c>
      <c r="J174" s="85" t="s">
        <v>113</v>
      </c>
      <c r="K174" s="85" t="s">
        <v>110</v>
      </c>
      <c r="L174" s="85" t="s">
        <v>63</v>
      </c>
      <c r="M174" s="85" t="str">
        <f t="shared" si="15"/>
        <v>Main Power Block - FE Sales</v>
      </c>
      <c r="N174" s="84">
        <f t="shared" si="12"/>
        <v>-108.3695731319762</v>
      </c>
      <c r="O174" s="87">
        <f t="shared" si="13"/>
        <v>-559463.8184137959</v>
      </c>
      <c r="P174" s="88" t="s">
        <v>73</v>
      </c>
      <c r="Q174" s="147">
        <v>0.91600000000000004</v>
      </c>
      <c r="R174" s="143" t="s">
        <v>203</v>
      </c>
      <c r="S174" s="96" t="s">
        <v>145</v>
      </c>
      <c r="T174" s="84" t="s">
        <v>82</v>
      </c>
      <c r="U174" s="84" t="s">
        <v>99</v>
      </c>
      <c r="V174" s="84" t="str">
        <f t="shared" si="14"/>
        <v>312UND11MSSCHERER-NON5162.55441675nt-108.369573131976Main Power Block - FE Sales</v>
      </c>
    </row>
    <row r="175" spans="1:22" x14ac:dyDescent="0.25">
      <c r="A175" s="85" t="s">
        <v>125</v>
      </c>
      <c r="B175" s="86" t="s">
        <v>159</v>
      </c>
      <c r="C175" s="101" t="s">
        <v>147</v>
      </c>
      <c r="D175" s="85" t="s">
        <v>112</v>
      </c>
      <c r="E175" s="85" t="s">
        <v>193</v>
      </c>
      <c r="F175" s="92">
        <f>('Scherer Data'!$D$19/4)*0.15*Q175</f>
        <v>3097.53265005</v>
      </c>
      <c r="G175" s="85" t="s">
        <v>33</v>
      </c>
      <c r="H175" s="91">
        <f>'Scherer Data'!$E$19</f>
        <v>-108.3695731319762</v>
      </c>
      <c r="I175" s="135">
        <f>('Scherer Data'!$F$19/4)*0.15*Q175</f>
        <v>-335678.29104827752</v>
      </c>
      <c r="J175" s="85" t="s">
        <v>113</v>
      </c>
      <c r="K175" s="85" t="s">
        <v>110</v>
      </c>
      <c r="L175" s="85" t="s">
        <v>63</v>
      </c>
      <c r="M175" s="85" t="str">
        <f t="shared" si="15"/>
        <v>Main Power Block - FE Sales</v>
      </c>
      <c r="N175" s="84">
        <f t="shared" si="12"/>
        <v>-108.3695731319762</v>
      </c>
      <c r="O175" s="87">
        <f t="shared" si="13"/>
        <v>-335678.29104827752</v>
      </c>
      <c r="P175" s="88" t="s">
        <v>73</v>
      </c>
      <c r="Q175" s="147">
        <v>0.91600000000000004</v>
      </c>
      <c r="R175" s="143" t="s">
        <v>203</v>
      </c>
      <c r="S175" s="96" t="s">
        <v>145</v>
      </c>
      <c r="T175" s="84" t="s">
        <v>82</v>
      </c>
      <c r="U175" s="84" t="s">
        <v>99</v>
      </c>
      <c r="V175" s="84" t="str">
        <f t="shared" si="14"/>
        <v>314UND11MSSCHERER-NON3097.53265005nt-108.369573131976Main Power Block - FE Sales</v>
      </c>
    </row>
    <row r="176" spans="1:22" x14ac:dyDescent="0.25">
      <c r="A176" s="85" t="s">
        <v>106</v>
      </c>
      <c r="B176" s="86" t="s">
        <v>152</v>
      </c>
      <c r="C176" s="101" t="s">
        <v>148</v>
      </c>
      <c r="D176" s="85" t="s">
        <v>114</v>
      </c>
      <c r="E176" s="85" t="s">
        <v>193</v>
      </c>
      <c r="F176" s="92">
        <f>('Scherer Data'!$D$19/4)*0.6*Q176</f>
        <v>12390.1306002</v>
      </c>
      <c r="G176" s="85" t="s">
        <v>33</v>
      </c>
      <c r="H176" s="91">
        <f>'Scherer Data'!$E$19</f>
        <v>-108.3695731319762</v>
      </c>
      <c r="I176" s="135">
        <f>('Scherer Data'!$F$19/4)*0.6*Q176</f>
        <v>-1342713.1641931101</v>
      </c>
      <c r="J176" s="85" t="s">
        <v>113</v>
      </c>
      <c r="K176" s="85" t="s">
        <v>110</v>
      </c>
      <c r="L176" s="85" t="s">
        <v>63</v>
      </c>
      <c r="M176" s="85" t="str">
        <f t="shared" si="15"/>
        <v>Main Power Block - FE Sales</v>
      </c>
      <c r="N176" s="84">
        <f t="shared" si="12"/>
        <v>-108.3695731319762</v>
      </c>
      <c r="O176" s="87">
        <f t="shared" si="13"/>
        <v>-1342713.1641931101</v>
      </c>
      <c r="P176" s="88" t="s">
        <v>73</v>
      </c>
      <c r="Q176" s="147">
        <v>0.91600000000000004</v>
      </c>
      <c r="R176" s="143" t="s">
        <v>203</v>
      </c>
      <c r="S176" s="96" t="s">
        <v>145</v>
      </c>
      <c r="T176" s="84" t="s">
        <v>82</v>
      </c>
      <c r="U176" s="84" t="s">
        <v>99</v>
      </c>
      <c r="V176" s="84" t="str">
        <f t="shared" si="14"/>
        <v>311UND22MSSCHERER-NON12390.1306002nt-108.369573131976Main Power Block - FE Sales</v>
      </c>
    </row>
    <row r="177" spans="1:22" x14ac:dyDescent="0.25">
      <c r="A177" s="85" t="s">
        <v>115</v>
      </c>
      <c r="B177" s="86" t="s">
        <v>158</v>
      </c>
      <c r="C177" s="101" t="s">
        <v>148</v>
      </c>
      <c r="D177" s="85" t="s">
        <v>114</v>
      </c>
      <c r="E177" s="85" t="s">
        <v>193</v>
      </c>
      <c r="F177" s="92">
        <f>('Scherer Data'!$D$19/4)*0.25*Q177</f>
        <v>5162.5544167500002</v>
      </c>
      <c r="G177" s="85" t="s">
        <v>33</v>
      </c>
      <c r="H177" s="91">
        <f>'Scherer Data'!$E$19</f>
        <v>-108.3695731319762</v>
      </c>
      <c r="I177" s="135">
        <f>('Scherer Data'!$F$19/4)*0.25*Q177</f>
        <v>-559463.8184137959</v>
      </c>
      <c r="J177" s="85" t="s">
        <v>113</v>
      </c>
      <c r="K177" s="85" t="s">
        <v>110</v>
      </c>
      <c r="L177" s="85" t="s">
        <v>63</v>
      </c>
      <c r="M177" s="85" t="str">
        <f t="shared" si="15"/>
        <v>Main Power Block - FE Sales</v>
      </c>
      <c r="N177" s="84">
        <f t="shared" si="12"/>
        <v>-108.3695731319762</v>
      </c>
      <c r="O177" s="87">
        <f t="shared" si="13"/>
        <v>-559463.8184137959</v>
      </c>
      <c r="P177" s="88" t="s">
        <v>73</v>
      </c>
      <c r="Q177" s="147">
        <v>0.91600000000000004</v>
      </c>
      <c r="R177" s="143" t="s">
        <v>203</v>
      </c>
      <c r="S177" s="96" t="s">
        <v>145</v>
      </c>
      <c r="T177" s="84" t="s">
        <v>82</v>
      </c>
      <c r="U177" s="84" t="s">
        <v>99</v>
      </c>
      <c r="V177" s="84" t="str">
        <f t="shared" si="14"/>
        <v>312UND22MSSCHERER-NON5162.55441675nt-108.369573131976Main Power Block - FE Sales</v>
      </c>
    </row>
    <row r="178" spans="1:22" x14ac:dyDescent="0.25">
      <c r="A178" s="85" t="s">
        <v>125</v>
      </c>
      <c r="B178" s="86" t="s">
        <v>159</v>
      </c>
      <c r="C178" s="101" t="s">
        <v>148</v>
      </c>
      <c r="D178" s="85" t="s">
        <v>114</v>
      </c>
      <c r="E178" s="85" t="s">
        <v>193</v>
      </c>
      <c r="F178" s="92">
        <f>('Scherer Data'!$D$19/4)*0.15*Q178</f>
        <v>3097.53265005</v>
      </c>
      <c r="G178" s="85" t="s">
        <v>33</v>
      </c>
      <c r="H178" s="91">
        <f>'Scherer Data'!$E$19</f>
        <v>-108.3695731319762</v>
      </c>
      <c r="I178" s="135">
        <f>('Scherer Data'!$F$19/4)*0.15*Q178</f>
        <v>-335678.29104827752</v>
      </c>
      <c r="J178" s="85" t="s">
        <v>113</v>
      </c>
      <c r="K178" s="85" t="s">
        <v>110</v>
      </c>
      <c r="L178" s="85" t="s">
        <v>63</v>
      </c>
      <c r="M178" s="85" t="str">
        <f t="shared" si="15"/>
        <v>Main Power Block - FE Sales</v>
      </c>
      <c r="N178" s="84">
        <f t="shared" si="12"/>
        <v>-108.3695731319762</v>
      </c>
      <c r="O178" s="87">
        <f t="shared" si="13"/>
        <v>-335678.29104827752</v>
      </c>
      <c r="P178" s="88" t="s">
        <v>73</v>
      </c>
      <c r="Q178" s="147">
        <v>0.91600000000000004</v>
      </c>
      <c r="R178" s="143" t="s">
        <v>203</v>
      </c>
      <c r="S178" s="96" t="s">
        <v>145</v>
      </c>
      <c r="T178" s="84" t="s">
        <v>82</v>
      </c>
      <c r="U178" s="84" t="s">
        <v>99</v>
      </c>
      <c r="V178" s="84" t="str">
        <f t="shared" si="14"/>
        <v>314UND22MSSCHERER-NON3097.53265005nt-108.369573131976Main Power Block - FE Sales</v>
      </c>
    </row>
    <row r="179" spans="1:22" x14ac:dyDescent="0.25">
      <c r="A179" s="85" t="s">
        <v>106</v>
      </c>
      <c r="B179" s="86" t="s">
        <v>152</v>
      </c>
      <c r="C179" s="101" t="s">
        <v>149</v>
      </c>
      <c r="D179" s="85" t="s">
        <v>133</v>
      </c>
      <c r="E179" s="85" t="s">
        <v>193</v>
      </c>
      <c r="F179" s="92">
        <f>('Scherer Data'!$D$19/4)*0.6*Q179</f>
        <v>10144.7575875</v>
      </c>
      <c r="G179" s="85" t="s">
        <v>33</v>
      </c>
      <c r="H179" s="91">
        <f>'Scherer Data'!$E$19</f>
        <v>-108.3695731319762</v>
      </c>
      <c r="I179" s="135">
        <f>('Scherer Data'!$F$19/4)*0.6*Q179</f>
        <v>-1099383.0492847515</v>
      </c>
      <c r="J179" s="85" t="s">
        <v>113</v>
      </c>
      <c r="K179" s="85" t="s">
        <v>110</v>
      </c>
      <c r="L179" s="85" t="s">
        <v>63</v>
      </c>
      <c r="M179" s="85" t="str">
        <f t="shared" si="15"/>
        <v>Main Power Block - FE Sales</v>
      </c>
      <c r="N179" s="84">
        <f t="shared" si="12"/>
        <v>-108.3695731319762</v>
      </c>
      <c r="O179" s="87">
        <f t="shared" si="13"/>
        <v>-1099383.0492847515</v>
      </c>
      <c r="P179" s="88" t="s">
        <v>73</v>
      </c>
      <c r="Q179" s="147">
        <v>0.75</v>
      </c>
      <c r="R179" s="143" t="s">
        <v>203</v>
      </c>
      <c r="S179" s="96" t="s">
        <v>145</v>
      </c>
      <c r="T179" s="84" t="s">
        <v>82</v>
      </c>
      <c r="U179" s="84" t="s">
        <v>99</v>
      </c>
      <c r="V179" s="84" t="str">
        <f t="shared" si="14"/>
        <v>311UND33MSSCHERER-NON10144.7575875nt-108.369573131976Main Power Block - FE Sales</v>
      </c>
    </row>
    <row r="180" spans="1:22" x14ac:dyDescent="0.25">
      <c r="A180" s="85" t="s">
        <v>115</v>
      </c>
      <c r="B180" s="86" t="s">
        <v>158</v>
      </c>
      <c r="C180" s="101" t="s">
        <v>149</v>
      </c>
      <c r="D180" s="85" t="s">
        <v>133</v>
      </c>
      <c r="E180" s="85" t="s">
        <v>193</v>
      </c>
      <c r="F180" s="92">
        <f>('Scherer Data'!$D$19/4)*0.25*Q180</f>
        <v>4226.9823281250001</v>
      </c>
      <c r="G180" s="85" t="s">
        <v>33</v>
      </c>
      <c r="H180" s="91">
        <f>'Scherer Data'!$E$19</f>
        <v>-108.3695731319762</v>
      </c>
      <c r="I180" s="135">
        <f>('Scherer Data'!$F$19/4)*0.25*Q180</f>
        <v>-458076.27053531318</v>
      </c>
      <c r="J180" s="85" t="s">
        <v>113</v>
      </c>
      <c r="K180" s="85" t="s">
        <v>110</v>
      </c>
      <c r="L180" s="85" t="s">
        <v>63</v>
      </c>
      <c r="M180" s="85" t="str">
        <f t="shared" si="15"/>
        <v>Main Power Block - FE Sales</v>
      </c>
      <c r="N180" s="84">
        <f t="shared" si="12"/>
        <v>-108.3695731319762</v>
      </c>
      <c r="O180" s="87">
        <f t="shared" si="13"/>
        <v>-458076.27053531318</v>
      </c>
      <c r="P180" s="88" t="s">
        <v>73</v>
      </c>
      <c r="Q180" s="147">
        <v>0.75</v>
      </c>
      <c r="R180" s="143" t="s">
        <v>203</v>
      </c>
      <c r="S180" s="96" t="s">
        <v>145</v>
      </c>
      <c r="T180" s="84" t="s">
        <v>82</v>
      </c>
      <c r="U180" s="84" t="s">
        <v>99</v>
      </c>
      <c r="V180" s="84" t="str">
        <f t="shared" si="14"/>
        <v>312UND33MSSCHERER-NON4226.982328125nt-108.369573131976Main Power Block - FE Sales</v>
      </c>
    </row>
    <row r="181" spans="1:22" x14ac:dyDescent="0.25">
      <c r="A181" s="85" t="s">
        <v>125</v>
      </c>
      <c r="B181" s="86" t="s">
        <v>159</v>
      </c>
      <c r="C181" s="101" t="s">
        <v>149</v>
      </c>
      <c r="D181" s="85" t="s">
        <v>133</v>
      </c>
      <c r="E181" s="85" t="s">
        <v>193</v>
      </c>
      <c r="F181" s="92">
        <f>('Scherer Data'!$D$19/4)*0.15*Q181</f>
        <v>2536.1893968750001</v>
      </c>
      <c r="G181" s="85" t="s">
        <v>33</v>
      </c>
      <c r="H181" s="91">
        <f>'Scherer Data'!$E$19</f>
        <v>-108.3695731319762</v>
      </c>
      <c r="I181" s="135">
        <f>('Scherer Data'!$F$19/4)*0.15*Q181</f>
        <v>-274845.76232118788</v>
      </c>
      <c r="J181" s="85" t="s">
        <v>113</v>
      </c>
      <c r="K181" s="85" t="s">
        <v>110</v>
      </c>
      <c r="L181" s="85" t="s">
        <v>63</v>
      </c>
      <c r="M181" s="85" t="str">
        <f t="shared" si="15"/>
        <v>Main Power Block - FE Sales</v>
      </c>
      <c r="N181" s="84">
        <f t="shared" si="12"/>
        <v>-108.3695731319762</v>
      </c>
      <c r="O181" s="87">
        <f t="shared" si="13"/>
        <v>-274845.76232118788</v>
      </c>
      <c r="P181" s="88" t="s">
        <v>73</v>
      </c>
      <c r="Q181" s="147">
        <v>0.75</v>
      </c>
      <c r="R181" s="143" t="s">
        <v>203</v>
      </c>
      <c r="S181" s="96" t="s">
        <v>145</v>
      </c>
      <c r="T181" s="84" t="s">
        <v>82</v>
      </c>
      <c r="U181" s="84" t="s">
        <v>99</v>
      </c>
      <c r="V181" s="84" t="str">
        <f t="shared" si="14"/>
        <v>314UND33MSSCHERER-NON2536.189396875nt-108.369573131976Main Power Block - FE Sales</v>
      </c>
    </row>
    <row r="182" spans="1:22" x14ac:dyDescent="0.25">
      <c r="A182" s="85" t="s">
        <v>106</v>
      </c>
      <c r="B182" s="86" t="s">
        <v>152</v>
      </c>
      <c r="C182" s="101" t="s">
        <v>150</v>
      </c>
      <c r="D182" s="85" t="s">
        <v>134</v>
      </c>
      <c r="E182" s="85" t="s">
        <v>193</v>
      </c>
      <c r="F182" s="92">
        <f>('Scherer Data'!$D$19/4)*0.6*Q182</f>
        <v>13526.34345</v>
      </c>
      <c r="G182" s="85" t="s">
        <v>33</v>
      </c>
      <c r="H182" s="91">
        <f>'Scherer Data'!$E$19</f>
        <v>-108.3695731319762</v>
      </c>
      <c r="I182" s="135">
        <f>('Scherer Data'!$F$19/4)*0.6*Q182</f>
        <v>-1465844.0657130021</v>
      </c>
      <c r="J182" s="85" t="s">
        <v>113</v>
      </c>
      <c r="K182" s="85" t="s">
        <v>110</v>
      </c>
      <c r="L182" s="85" t="s">
        <v>63</v>
      </c>
      <c r="M182" s="85" t="str">
        <f t="shared" si="15"/>
        <v>Main Power Block - FE Sales</v>
      </c>
      <c r="N182" s="84">
        <f t="shared" si="12"/>
        <v>-108.3695731319762</v>
      </c>
      <c r="O182" s="87">
        <f t="shared" si="13"/>
        <v>-1465844.0657130021</v>
      </c>
      <c r="P182" s="88" t="s">
        <v>73</v>
      </c>
      <c r="Q182" s="147">
        <v>1</v>
      </c>
      <c r="R182" s="143" t="s">
        <v>203</v>
      </c>
      <c r="S182" s="96" t="s">
        <v>145</v>
      </c>
      <c r="T182" s="84" t="s">
        <v>82</v>
      </c>
      <c r="U182" s="84" t="s">
        <v>99</v>
      </c>
      <c r="V182" s="84" t="str">
        <f t="shared" si="14"/>
        <v>311UND44MSSCHERER-NON13526.34345nt-108.369573131976Main Power Block - FE Sales</v>
      </c>
    </row>
    <row r="183" spans="1:22" x14ac:dyDescent="0.25">
      <c r="A183" s="85" t="s">
        <v>115</v>
      </c>
      <c r="B183" s="86" t="s">
        <v>158</v>
      </c>
      <c r="C183" s="101" t="s">
        <v>150</v>
      </c>
      <c r="D183" s="85" t="s">
        <v>134</v>
      </c>
      <c r="E183" s="85" t="s">
        <v>193</v>
      </c>
      <c r="F183" s="92">
        <f>('Scherer Data'!$D$19/4)*0.25*Q183</f>
        <v>5635.9764375000004</v>
      </c>
      <c r="G183" s="85" t="s">
        <v>33</v>
      </c>
      <c r="H183" s="91">
        <f>'Scherer Data'!$E$19</f>
        <v>-108.3695731319762</v>
      </c>
      <c r="I183" s="135">
        <f>('Scherer Data'!$F$19/4)*0.25*Q183</f>
        <v>-610768.36071375094</v>
      </c>
      <c r="J183" s="85" t="s">
        <v>113</v>
      </c>
      <c r="K183" s="85" t="s">
        <v>110</v>
      </c>
      <c r="L183" s="85" t="s">
        <v>63</v>
      </c>
      <c r="M183" s="85" t="str">
        <f t="shared" si="15"/>
        <v>Main Power Block - FE Sales</v>
      </c>
      <c r="N183" s="84">
        <f t="shared" si="12"/>
        <v>-108.3695731319762</v>
      </c>
      <c r="O183" s="87">
        <f t="shared" si="13"/>
        <v>-610768.36071375094</v>
      </c>
      <c r="P183" s="88" t="s">
        <v>73</v>
      </c>
      <c r="Q183" s="147">
        <v>1</v>
      </c>
      <c r="R183" s="143" t="s">
        <v>203</v>
      </c>
      <c r="S183" s="96" t="s">
        <v>145</v>
      </c>
      <c r="T183" s="84" t="s">
        <v>82</v>
      </c>
      <c r="U183" s="84" t="s">
        <v>99</v>
      </c>
      <c r="V183" s="84" t="str">
        <f t="shared" si="14"/>
        <v>312UND44MSSCHERER-NON5635.9764375nt-108.369573131976Main Power Block - FE Sales</v>
      </c>
    </row>
    <row r="184" spans="1:22" x14ac:dyDescent="0.25">
      <c r="A184" s="85" t="s">
        <v>125</v>
      </c>
      <c r="B184" s="86" t="s">
        <v>159</v>
      </c>
      <c r="C184" s="101" t="s">
        <v>150</v>
      </c>
      <c r="D184" s="85" t="s">
        <v>134</v>
      </c>
      <c r="E184" s="85" t="s">
        <v>193</v>
      </c>
      <c r="F184" s="92">
        <f>('Scherer Data'!$D$19/4)*0.15*Q184</f>
        <v>3381.5858625000001</v>
      </c>
      <c r="G184" s="85" t="s">
        <v>33</v>
      </c>
      <c r="H184" s="91">
        <f>'Scherer Data'!$E$19</f>
        <v>-108.3695731319762</v>
      </c>
      <c r="I184" s="135">
        <f>('Scherer Data'!$F$19/4)*0.15*Q184</f>
        <v>-366461.01642825053</v>
      </c>
      <c r="J184" s="85" t="s">
        <v>113</v>
      </c>
      <c r="K184" s="85" t="s">
        <v>110</v>
      </c>
      <c r="L184" s="85" t="s">
        <v>63</v>
      </c>
      <c r="M184" s="85" t="str">
        <f t="shared" ref="M184:M197" si="16">J184</f>
        <v>Main Power Block - FE Sales</v>
      </c>
      <c r="N184" s="84">
        <f t="shared" si="12"/>
        <v>-108.3695731319762</v>
      </c>
      <c r="O184" s="87">
        <f t="shared" si="13"/>
        <v>-366461.01642825053</v>
      </c>
      <c r="P184" s="88" t="s">
        <v>73</v>
      </c>
      <c r="Q184" s="147">
        <v>1</v>
      </c>
      <c r="R184" s="143" t="s">
        <v>203</v>
      </c>
      <c r="S184" s="96" t="s">
        <v>145</v>
      </c>
      <c r="T184" s="84" t="s">
        <v>82</v>
      </c>
      <c r="U184" s="84" t="s">
        <v>99</v>
      </c>
      <c r="V184" s="84" t="str">
        <f t="shared" si="14"/>
        <v>314UND44MSSCHERER-NON3381.5858625nt-108.369573131976Main Power Block - FE Sales</v>
      </c>
    </row>
    <row r="185" spans="1:22" x14ac:dyDescent="0.25">
      <c r="A185" s="85" t="s">
        <v>115</v>
      </c>
      <c r="B185" s="86" t="s">
        <v>158</v>
      </c>
      <c r="C185" s="101" t="s">
        <v>147</v>
      </c>
      <c r="D185" s="85" t="s">
        <v>112</v>
      </c>
      <c r="E185" s="85" t="s">
        <v>193</v>
      </c>
      <c r="F185" s="92">
        <f>'Scherer Data'!$D$22/4*Q185</f>
        <v>23446.080000000002</v>
      </c>
      <c r="G185" s="85" t="s">
        <v>36</v>
      </c>
      <c r="H185" s="91">
        <f>'Scherer Data'!$E$22</f>
        <v>-0.13699903999999999</v>
      </c>
      <c r="I185" s="135">
        <f>'Scherer Data'!$F$22/4*Q185</f>
        <v>-3212.0904517632002</v>
      </c>
      <c r="J185" s="85" t="s">
        <v>120</v>
      </c>
      <c r="K185" s="85" t="s">
        <v>121</v>
      </c>
      <c r="L185" s="85" t="s">
        <v>63</v>
      </c>
      <c r="M185" s="85" t="str">
        <f t="shared" si="16"/>
        <v>Main Power Block - SS Sales</v>
      </c>
      <c r="N185" s="84">
        <f t="shared" si="12"/>
        <v>-0.13699903999999999</v>
      </c>
      <c r="O185" s="87">
        <f t="shared" si="13"/>
        <v>-3212.0904517632002</v>
      </c>
      <c r="P185" s="88" t="s">
        <v>73</v>
      </c>
      <c r="Q185" s="147">
        <v>8.4000000000000005E-2</v>
      </c>
      <c r="R185" s="143" t="s">
        <v>203</v>
      </c>
      <c r="S185" s="96" t="s">
        <v>145</v>
      </c>
      <c r="T185" s="84" t="s">
        <v>82</v>
      </c>
      <c r="U185" s="84" t="s">
        <v>99</v>
      </c>
      <c r="V185" s="84" t="str">
        <f t="shared" si="14"/>
        <v>312UND11MSSCHERER-NON23446.08lbs-0.13699904Main Power Block - SS Sales</v>
      </c>
    </row>
    <row r="186" spans="1:22" x14ac:dyDescent="0.25">
      <c r="A186" s="85" t="s">
        <v>115</v>
      </c>
      <c r="B186" s="86" t="s">
        <v>158</v>
      </c>
      <c r="C186" s="101" t="s">
        <v>148</v>
      </c>
      <c r="D186" s="85" t="s">
        <v>114</v>
      </c>
      <c r="E186" s="85" t="s">
        <v>193</v>
      </c>
      <c r="F186" s="92">
        <f>'Scherer Data'!$D$22/4*Q186</f>
        <v>23446.080000000002</v>
      </c>
      <c r="G186" s="85" t="s">
        <v>36</v>
      </c>
      <c r="H186" s="91">
        <f>'Scherer Data'!$E$22</f>
        <v>-0.13699903999999999</v>
      </c>
      <c r="I186" s="135">
        <f>'Scherer Data'!$F$22/4*Q186</f>
        <v>-3212.0904517632002</v>
      </c>
      <c r="J186" s="85" t="s">
        <v>120</v>
      </c>
      <c r="K186" s="85" t="s">
        <v>121</v>
      </c>
      <c r="L186" s="85" t="s">
        <v>63</v>
      </c>
      <c r="M186" s="85" t="str">
        <f t="shared" si="16"/>
        <v>Main Power Block - SS Sales</v>
      </c>
      <c r="N186" s="84">
        <f t="shared" si="12"/>
        <v>-0.13699903999999999</v>
      </c>
      <c r="O186" s="87">
        <f t="shared" si="13"/>
        <v>-3212.0904517632002</v>
      </c>
      <c r="P186" s="88" t="s">
        <v>73</v>
      </c>
      <c r="Q186" s="147">
        <v>8.4000000000000005E-2</v>
      </c>
      <c r="R186" s="143" t="s">
        <v>203</v>
      </c>
      <c r="S186" s="96" t="s">
        <v>145</v>
      </c>
      <c r="T186" s="84" t="s">
        <v>82</v>
      </c>
      <c r="U186" s="84" t="s">
        <v>99</v>
      </c>
      <c r="V186" s="84" t="str">
        <f t="shared" si="14"/>
        <v>312UND22MSSCHERER-NON23446.08lbs-0.13699904Main Power Block - SS Sales</v>
      </c>
    </row>
    <row r="187" spans="1:22" x14ac:dyDescent="0.25">
      <c r="A187" s="85" t="s">
        <v>115</v>
      </c>
      <c r="B187" s="86" t="s">
        <v>158</v>
      </c>
      <c r="C187" s="101" t="s">
        <v>147</v>
      </c>
      <c r="D187" s="85" t="s">
        <v>112</v>
      </c>
      <c r="E187" s="85" t="s">
        <v>193</v>
      </c>
      <c r="F187" s="92">
        <f>'Scherer Data'!$D$22/4*Q187</f>
        <v>255673.92</v>
      </c>
      <c r="G187" s="85" t="s">
        <v>36</v>
      </c>
      <c r="H187" s="91">
        <f>'Scherer Data'!$E$22</f>
        <v>-0.13699903999999999</v>
      </c>
      <c r="I187" s="135">
        <f>'Scherer Data'!$F$22/4*Q187</f>
        <v>-35027.081593036797</v>
      </c>
      <c r="J187" s="85" t="s">
        <v>120</v>
      </c>
      <c r="K187" s="85" t="s">
        <v>121</v>
      </c>
      <c r="L187" s="85" t="s">
        <v>63</v>
      </c>
      <c r="M187" s="85" t="str">
        <f t="shared" si="16"/>
        <v>Main Power Block - SS Sales</v>
      </c>
      <c r="N187" s="84">
        <f t="shared" si="12"/>
        <v>-0.13699903999999999</v>
      </c>
      <c r="O187" s="87">
        <f t="shared" si="13"/>
        <v>-35027.081593036797</v>
      </c>
      <c r="P187" s="88" t="s">
        <v>73</v>
      </c>
      <c r="Q187" s="147">
        <v>0.91600000000000004</v>
      </c>
      <c r="R187" s="143" t="s">
        <v>203</v>
      </c>
      <c r="S187" s="96" t="s">
        <v>145</v>
      </c>
      <c r="T187" s="84" t="s">
        <v>82</v>
      </c>
      <c r="U187" s="84" t="s">
        <v>99</v>
      </c>
      <c r="V187" s="84" t="str">
        <f t="shared" si="14"/>
        <v>312UND11MSSCHERER-NON255673.92lbs-0.13699904Main Power Block - SS Sales</v>
      </c>
    </row>
    <row r="188" spans="1:22" x14ac:dyDescent="0.25">
      <c r="A188" s="85" t="s">
        <v>115</v>
      </c>
      <c r="B188" s="86" t="s">
        <v>158</v>
      </c>
      <c r="C188" s="101" t="s">
        <v>148</v>
      </c>
      <c r="D188" s="85" t="s">
        <v>114</v>
      </c>
      <c r="E188" s="85" t="s">
        <v>193</v>
      </c>
      <c r="F188" s="92">
        <f>'Scherer Data'!$D$22/4*Q188</f>
        <v>255673.92</v>
      </c>
      <c r="G188" s="85" t="s">
        <v>36</v>
      </c>
      <c r="H188" s="91">
        <f>'Scherer Data'!$E$22</f>
        <v>-0.13699903999999999</v>
      </c>
      <c r="I188" s="135">
        <f>'Scherer Data'!$F$22/4*Q188</f>
        <v>-35027.081593036797</v>
      </c>
      <c r="J188" s="85" t="s">
        <v>120</v>
      </c>
      <c r="K188" s="85" t="s">
        <v>121</v>
      </c>
      <c r="L188" s="85" t="s">
        <v>63</v>
      </c>
      <c r="M188" s="85" t="str">
        <f t="shared" si="16"/>
        <v>Main Power Block - SS Sales</v>
      </c>
      <c r="N188" s="84">
        <f t="shared" si="12"/>
        <v>-0.13699903999999999</v>
      </c>
      <c r="O188" s="87">
        <f t="shared" si="13"/>
        <v>-35027.081593036797</v>
      </c>
      <c r="P188" s="88" t="s">
        <v>73</v>
      </c>
      <c r="Q188" s="147">
        <v>0.91600000000000004</v>
      </c>
      <c r="R188" s="143" t="s">
        <v>203</v>
      </c>
      <c r="S188" s="96" t="s">
        <v>145</v>
      </c>
      <c r="T188" s="84" t="s">
        <v>82</v>
      </c>
      <c r="U188" s="84" t="s">
        <v>99</v>
      </c>
      <c r="V188" s="84" t="str">
        <f t="shared" si="14"/>
        <v>312UND22MSSCHERER-NON255673.92lbs-0.13699904Main Power Block - SS Sales</v>
      </c>
    </row>
    <row r="189" spans="1:22" x14ac:dyDescent="0.25">
      <c r="A189" s="85" t="s">
        <v>115</v>
      </c>
      <c r="B189" s="86" t="s">
        <v>158</v>
      </c>
      <c r="C189" s="101" t="s">
        <v>149</v>
      </c>
      <c r="D189" s="85" t="s">
        <v>133</v>
      </c>
      <c r="E189" s="85" t="s">
        <v>193</v>
      </c>
      <c r="F189" s="92">
        <f>'Scherer Data'!$D$22/4*Q189</f>
        <v>209340</v>
      </c>
      <c r="G189" s="85" t="s">
        <v>36</v>
      </c>
      <c r="H189" s="91">
        <f>'Scherer Data'!$E$22</f>
        <v>-0.13699903999999999</v>
      </c>
      <c r="I189" s="135">
        <f>'Scherer Data'!$F$22/4*Q189</f>
        <v>-28679.379033599998</v>
      </c>
      <c r="J189" s="85" t="s">
        <v>120</v>
      </c>
      <c r="K189" s="85" t="s">
        <v>121</v>
      </c>
      <c r="L189" s="85" t="s">
        <v>63</v>
      </c>
      <c r="M189" s="85" t="str">
        <f t="shared" si="16"/>
        <v>Main Power Block - SS Sales</v>
      </c>
      <c r="N189" s="84">
        <f t="shared" si="12"/>
        <v>-0.13699903999999999</v>
      </c>
      <c r="O189" s="87">
        <f t="shared" si="13"/>
        <v>-28679.379033599998</v>
      </c>
      <c r="P189" s="88" t="s">
        <v>73</v>
      </c>
      <c r="Q189" s="147">
        <v>0.75</v>
      </c>
      <c r="R189" s="143" t="s">
        <v>203</v>
      </c>
      <c r="S189" s="96" t="s">
        <v>145</v>
      </c>
      <c r="T189" s="84" t="s">
        <v>82</v>
      </c>
      <c r="U189" s="84" t="s">
        <v>99</v>
      </c>
      <c r="V189" s="84" t="str">
        <f t="shared" si="14"/>
        <v>312UND33MSSCHERER-NON209340lbs-0.13699904Main Power Block - SS Sales</v>
      </c>
    </row>
    <row r="190" spans="1:22" x14ac:dyDescent="0.25">
      <c r="A190" s="85" t="s">
        <v>115</v>
      </c>
      <c r="B190" s="86" t="s">
        <v>158</v>
      </c>
      <c r="C190" s="101" t="s">
        <v>150</v>
      </c>
      <c r="D190" s="85" t="s">
        <v>134</v>
      </c>
      <c r="E190" s="85" t="s">
        <v>193</v>
      </c>
      <c r="F190" s="92">
        <f>'Scherer Data'!$D$22/4*Q190</f>
        <v>279120</v>
      </c>
      <c r="G190" s="85" t="s">
        <v>36</v>
      </c>
      <c r="H190" s="91">
        <f>'Scherer Data'!$E$22</f>
        <v>-0.13699903999999999</v>
      </c>
      <c r="I190" s="135">
        <f>'Scherer Data'!$F$22/4*Q190</f>
        <v>-38239.172044799998</v>
      </c>
      <c r="J190" s="85" t="s">
        <v>120</v>
      </c>
      <c r="K190" s="85" t="s">
        <v>121</v>
      </c>
      <c r="L190" s="85" t="s">
        <v>63</v>
      </c>
      <c r="M190" s="85" t="str">
        <f t="shared" si="16"/>
        <v>Main Power Block - SS Sales</v>
      </c>
      <c r="N190" s="84">
        <f t="shared" si="12"/>
        <v>-0.13699903999999999</v>
      </c>
      <c r="O190" s="87">
        <f t="shared" si="13"/>
        <v>-38239.172044799998</v>
      </c>
      <c r="P190" s="88" t="s">
        <v>73</v>
      </c>
      <c r="Q190" s="147">
        <v>1</v>
      </c>
      <c r="R190" s="143" t="s">
        <v>203</v>
      </c>
      <c r="S190" s="96" t="s">
        <v>145</v>
      </c>
      <c r="T190" s="84" t="s">
        <v>82</v>
      </c>
      <c r="U190" s="84" t="s">
        <v>99</v>
      </c>
      <c r="V190" s="84" t="str">
        <f t="shared" si="14"/>
        <v>312UND44MSSCHERER-NON279120lbs-0.13699904Main Power Block - SS Sales</v>
      </c>
    </row>
    <row r="191" spans="1:22" x14ac:dyDescent="0.25">
      <c r="A191" s="85" t="s">
        <v>125</v>
      </c>
      <c r="B191" s="86" t="s">
        <v>159</v>
      </c>
      <c r="C191" s="101" t="s">
        <v>147</v>
      </c>
      <c r="D191" s="85" t="s">
        <v>67</v>
      </c>
      <c r="E191" s="85" t="s">
        <v>193</v>
      </c>
      <c r="F191" s="92">
        <f>'Scherer Data'!$D$23/4*Q191</f>
        <v>350.00000000000006</v>
      </c>
      <c r="G191" s="85" t="s">
        <v>40</v>
      </c>
      <c r="H191" s="91">
        <f>'Scherer Data'!$E$23</f>
        <v>107.142</v>
      </c>
      <c r="I191" s="135">
        <f>'Scherer Data'!$F$23/4*Q191</f>
        <v>36750.000000000007</v>
      </c>
      <c r="J191" s="85" t="s">
        <v>126</v>
      </c>
      <c r="K191" s="85" t="s">
        <v>63</v>
      </c>
      <c r="L191" s="85" t="s">
        <v>63</v>
      </c>
      <c r="M191" s="85" t="str">
        <f t="shared" si="16"/>
        <v>Main Power Block - Turbine Foundations Concrete</v>
      </c>
      <c r="N191" s="84">
        <f t="shared" si="12"/>
        <v>107.142</v>
      </c>
      <c r="O191" s="87">
        <f t="shared" si="13"/>
        <v>36750.000000000007</v>
      </c>
      <c r="P191" s="88" t="s">
        <v>73</v>
      </c>
      <c r="Q191" s="147">
        <v>8.4000000000000005E-2</v>
      </c>
      <c r="R191" s="143" t="s">
        <v>203</v>
      </c>
      <c r="S191" s="96" t="s">
        <v>143</v>
      </c>
      <c r="T191" s="84" t="s">
        <v>82</v>
      </c>
      <c r="U191" s="84" t="s">
        <v>99</v>
      </c>
      <c r="V191" s="84" t="str">
        <f t="shared" si="14"/>
        <v>314UND11LRSCHERER-NON350cy107.142Main Power Block - Turbine Foundations Concrete</v>
      </c>
    </row>
    <row r="192" spans="1:22" x14ac:dyDescent="0.25">
      <c r="A192" s="85" t="s">
        <v>125</v>
      </c>
      <c r="B192" s="86" t="s">
        <v>159</v>
      </c>
      <c r="C192" s="101" t="s">
        <v>148</v>
      </c>
      <c r="D192" s="85" t="s">
        <v>68</v>
      </c>
      <c r="E192" s="85" t="s">
        <v>193</v>
      </c>
      <c r="F192" s="92">
        <f>'Scherer Data'!$D$23/4*Q192</f>
        <v>350.00000000000006</v>
      </c>
      <c r="G192" s="85" t="s">
        <v>40</v>
      </c>
      <c r="H192" s="91">
        <f>'Scherer Data'!$E$23</f>
        <v>107.142</v>
      </c>
      <c r="I192" s="135">
        <f>'Scherer Data'!$F$23/4*Q192</f>
        <v>36750.000000000007</v>
      </c>
      <c r="J192" s="85" t="s">
        <v>126</v>
      </c>
      <c r="K192" s="85" t="s">
        <v>63</v>
      </c>
      <c r="L192" s="85" t="s">
        <v>63</v>
      </c>
      <c r="M192" s="85" t="str">
        <f t="shared" si="16"/>
        <v>Main Power Block - Turbine Foundations Concrete</v>
      </c>
      <c r="N192" s="84">
        <f t="shared" si="12"/>
        <v>107.142</v>
      </c>
      <c r="O192" s="87">
        <f t="shared" si="13"/>
        <v>36750.000000000007</v>
      </c>
      <c r="P192" s="88" t="s">
        <v>73</v>
      </c>
      <c r="Q192" s="147">
        <v>8.4000000000000005E-2</v>
      </c>
      <c r="R192" s="143" t="s">
        <v>203</v>
      </c>
      <c r="S192" s="96" t="s">
        <v>143</v>
      </c>
      <c r="T192" s="84" t="s">
        <v>82</v>
      </c>
      <c r="U192" s="84" t="s">
        <v>99</v>
      </c>
      <c r="V192" s="84" t="str">
        <f t="shared" si="14"/>
        <v>314UND22LRSCHERER-NON350cy107.142Main Power Block - Turbine Foundations Concrete</v>
      </c>
    </row>
    <row r="193" spans="1:22" x14ac:dyDescent="0.25">
      <c r="A193" s="85" t="s">
        <v>125</v>
      </c>
      <c r="B193" s="86" t="s">
        <v>159</v>
      </c>
      <c r="C193" s="101" t="s">
        <v>147</v>
      </c>
      <c r="D193" s="85" t="s">
        <v>67</v>
      </c>
      <c r="E193" s="85" t="s">
        <v>193</v>
      </c>
      <c r="F193" s="92">
        <f>'Scherer Data'!$D$23/4*Q193</f>
        <v>3816.666666666667</v>
      </c>
      <c r="G193" s="85" t="s">
        <v>40</v>
      </c>
      <c r="H193" s="91">
        <f>'Scherer Data'!$E$23</f>
        <v>107.142</v>
      </c>
      <c r="I193" s="135">
        <f>'Scherer Data'!$F$23/4*Q193</f>
        <v>400750.00000000006</v>
      </c>
      <c r="J193" s="85" t="s">
        <v>126</v>
      </c>
      <c r="K193" s="85" t="s">
        <v>63</v>
      </c>
      <c r="L193" s="85" t="s">
        <v>63</v>
      </c>
      <c r="M193" s="85" t="str">
        <f t="shared" si="16"/>
        <v>Main Power Block - Turbine Foundations Concrete</v>
      </c>
      <c r="N193" s="84">
        <f t="shared" si="12"/>
        <v>107.142</v>
      </c>
      <c r="O193" s="87">
        <f t="shared" si="13"/>
        <v>400750.00000000006</v>
      </c>
      <c r="P193" s="88" t="s">
        <v>73</v>
      </c>
      <c r="Q193" s="147">
        <v>0.91600000000000004</v>
      </c>
      <c r="R193" s="143" t="s">
        <v>203</v>
      </c>
      <c r="S193" s="96" t="s">
        <v>143</v>
      </c>
      <c r="T193" s="84" t="s">
        <v>82</v>
      </c>
      <c r="U193" s="84" t="s">
        <v>99</v>
      </c>
      <c r="V193" s="84" t="str">
        <f t="shared" si="14"/>
        <v>314UND11LRSCHERER-NON3816.66666666667cy107.142Main Power Block - Turbine Foundations Concrete</v>
      </c>
    </row>
    <row r="194" spans="1:22" x14ac:dyDescent="0.25">
      <c r="A194" s="85" t="s">
        <v>125</v>
      </c>
      <c r="B194" s="86" t="s">
        <v>159</v>
      </c>
      <c r="C194" s="101" t="s">
        <v>148</v>
      </c>
      <c r="D194" s="85" t="s">
        <v>68</v>
      </c>
      <c r="E194" s="85" t="s">
        <v>193</v>
      </c>
      <c r="F194" s="92">
        <f>'Scherer Data'!$D$23/4*Q194</f>
        <v>3816.666666666667</v>
      </c>
      <c r="G194" s="85" t="s">
        <v>40</v>
      </c>
      <c r="H194" s="91">
        <f>'Scherer Data'!$E$23</f>
        <v>107.142</v>
      </c>
      <c r="I194" s="135">
        <f>'Scherer Data'!$F$23/4*Q194</f>
        <v>400750.00000000006</v>
      </c>
      <c r="J194" s="85" t="s">
        <v>126</v>
      </c>
      <c r="K194" s="85" t="s">
        <v>63</v>
      </c>
      <c r="L194" s="85" t="s">
        <v>63</v>
      </c>
      <c r="M194" s="85" t="str">
        <f t="shared" si="16"/>
        <v>Main Power Block - Turbine Foundations Concrete</v>
      </c>
      <c r="N194" s="84">
        <f t="shared" si="12"/>
        <v>107.142</v>
      </c>
      <c r="O194" s="87">
        <f t="shared" si="13"/>
        <v>400750.00000000006</v>
      </c>
      <c r="P194" s="88" t="s">
        <v>73</v>
      </c>
      <c r="Q194" s="147">
        <v>0.91600000000000004</v>
      </c>
      <c r="R194" s="143" t="s">
        <v>203</v>
      </c>
      <c r="S194" s="96" t="s">
        <v>143</v>
      </c>
      <c r="T194" s="84" t="s">
        <v>82</v>
      </c>
      <c r="U194" s="84" t="s">
        <v>99</v>
      </c>
      <c r="V194" s="84" t="str">
        <f t="shared" si="14"/>
        <v>314UND22LRSCHERER-NON3816.66666666667cy107.142Main Power Block - Turbine Foundations Concrete</v>
      </c>
    </row>
    <row r="195" spans="1:22" x14ac:dyDescent="0.25">
      <c r="A195" s="85" t="s">
        <v>125</v>
      </c>
      <c r="B195" s="86" t="s">
        <v>159</v>
      </c>
      <c r="C195" s="101" t="s">
        <v>149</v>
      </c>
      <c r="D195" s="85" t="s">
        <v>69</v>
      </c>
      <c r="E195" s="85" t="s">
        <v>193</v>
      </c>
      <c r="F195" s="92">
        <f>'Scherer Data'!$D$23/4*Q195</f>
        <v>3125</v>
      </c>
      <c r="G195" s="85" t="s">
        <v>40</v>
      </c>
      <c r="H195" s="91">
        <f>'Scherer Data'!$E$23</f>
        <v>107.142</v>
      </c>
      <c r="I195" s="135">
        <f>'Scherer Data'!$F$23/4*Q195</f>
        <v>328125.00000000006</v>
      </c>
      <c r="J195" s="85" t="s">
        <v>126</v>
      </c>
      <c r="K195" s="85" t="s">
        <v>63</v>
      </c>
      <c r="L195" s="85" t="s">
        <v>63</v>
      </c>
      <c r="M195" s="85" t="str">
        <f t="shared" si="16"/>
        <v>Main Power Block - Turbine Foundations Concrete</v>
      </c>
      <c r="N195" s="84">
        <f t="shared" si="12"/>
        <v>107.142</v>
      </c>
      <c r="O195" s="87">
        <f t="shared" si="13"/>
        <v>328125.00000000006</v>
      </c>
      <c r="P195" s="88" t="s">
        <v>73</v>
      </c>
      <c r="Q195" s="147">
        <v>0.75</v>
      </c>
      <c r="R195" s="143" t="s">
        <v>203</v>
      </c>
      <c r="S195" s="96" t="s">
        <v>143</v>
      </c>
      <c r="T195" s="84" t="s">
        <v>82</v>
      </c>
      <c r="U195" s="84" t="s">
        <v>99</v>
      </c>
      <c r="V195" s="84" t="str">
        <f t="shared" si="14"/>
        <v>314UND33LRSCHERER-NON3125cy107.142Main Power Block - Turbine Foundations Concrete</v>
      </c>
    </row>
    <row r="196" spans="1:22" x14ac:dyDescent="0.25">
      <c r="A196" s="85" t="s">
        <v>125</v>
      </c>
      <c r="B196" s="86" t="s">
        <v>159</v>
      </c>
      <c r="C196" s="101" t="s">
        <v>150</v>
      </c>
      <c r="D196" s="85" t="s">
        <v>70</v>
      </c>
      <c r="E196" s="85" t="s">
        <v>193</v>
      </c>
      <c r="F196" s="92">
        <f>'Scherer Data'!$D$23/4*Q196</f>
        <v>4166.666666666667</v>
      </c>
      <c r="G196" s="85" t="s">
        <v>40</v>
      </c>
      <c r="H196" s="91">
        <f>'Scherer Data'!$E$23</f>
        <v>107.142</v>
      </c>
      <c r="I196" s="135">
        <f>'Scherer Data'!$F$23/4*Q196</f>
        <v>437500.00000000006</v>
      </c>
      <c r="J196" s="85" t="s">
        <v>126</v>
      </c>
      <c r="K196" s="85" t="s">
        <v>63</v>
      </c>
      <c r="L196" s="85" t="s">
        <v>63</v>
      </c>
      <c r="M196" s="85" t="str">
        <f t="shared" si="16"/>
        <v>Main Power Block - Turbine Foundations Concrete</v>
      </c>
      <c r="N196" s="84">
        <f t="shared" si="12"/>
        <v>107.142</v>
      </c>
      <c r="O196" s="87">
        <f t="shared" si="13"/>
        <v>437500.00000000006</v>
      </c>
      <c r="P196" s="88" t="s">
        <v>73</v>
      </c>
      <c r="Q196" s="147">
        <v>1</v>
      </c>
      <c r="R196" s="143" t="s">
        <v>203</v>
      </c>
      <c r="S196" s="96" t="s">
        <v>143</v>
      </c>
      <c r="T196" s="84" t="s">
        <v>82</v>
      </c>
      <c r="U196" s="84" t="s">
        <v>99</v>
      </c>
      <c r="V196" s="84" t="str">
        <f t="shared" si="14"/>
        <v>314UND44LRSCHERER-NON4166.66666666667cy107.142Main Power Block - Turbine Foundations Concrete</v>
      </c>
    </row>
    <row r="197" spans="1:22" x14ac:dyDescent="0.25">
      <c r="A197" s="85" t="s">
        <v>100</v>
      </c>
      <c r="B197" s="86" t="s">
        <v>152</v>
      </c>
      <c r="C197" s="86" t="s">
        <v>71</v>
      </c>
      <c r="D197" s="85" t="s">
        <v>72</v>
      </c>
      <c r="E197" s="85" t="s">
        <v>193</v>
      </c>
      <c r="F197" s="92">
        <f>'Scherer Data'!$D$11*Q197</f>
        <v>140625</v>
      </c>
      <c r="G197" s="85" t="s">
        <v>27</v>
      </c>
      <c r="H197" s="89">
        <v>2500</v>
      </c>
      <c r="I197" s="116">
        <f>'Scherer Data'!$F$11*Q197</f>
        <v>632812.5</v>
      </c>
      <c r="J197" s="85" t="s">
        <v>26</v>
      </c>
      <c r="K197" s="85" t="s">
        <v>63</v>
      </c>
      <c r="L197" s="85" t="s">
        <v>63</v>
      </c>
      <c r="M197" s="85" t="str">
        <f t="shared" si="16"/>
        <v>Pavement Repairs</v>
      </c>
      <c r="N197" s="84">
        <f t="shared" ref="N197:N260" si="17">H197</f>
        <v>2500</v>
      </c>
      <c r="O197" s="87">
        <f t="shared" ref="O197:O260" si="18">I197</f>
        <v>632812.5</v>
      </c>
      <c r="P197" s="88" t="s">
        <v>73</v>
      </c>
      <c r="Q197" s="147">
        <f>1-0.0625</f>
        <v>0.9375</v>
      </c>
      <c r="R197" s="143" t="s">
        <v>203</v>
      </c>
      <c r="S197" s="96" t="s">
        <v>143</v>
      </c>
      <c r="T197" s="84" t="s">
        <v>82</v>
      </c>
      <c r="U197" s="84" t="s">
        <v>99</v>
      </c>
      <c r="V197" s="84" t="str">
        <f t="shared" ref="V197:V260" si="19">A197&amp;C197&amp;D197&amp;E197&amp;F197&amp;G197&amp;H197&amp;J197</f>
        <v>3110061CCLRSCHERER-NON140625sf2500Pavement Repairs</v>
      </c>
    </row>
    <row r="198" spans="1:22" x14ac:dyDescent="0.25">
      <c r="A198" s="85" t="s">
        <v>93</v>
      </c>
      <c r="B198" s="86" t="s">
        <v>153</v>
      </c>
      <c r="C198" s="86" t="s">
        <v>71</v>
      </c>
      <c r="D198" s="85" t="s">
        <v>72</v>
      </c>
      <c r="E198" s="85" t="s">
        <v>193</v>
      </c>
      <c r="F198" s="87">
        <f>1*Q198</f>
        <v>0.9375</v>
      </c>
      <c r="G198" s="85" t="s">
        <v>21</v>
      </c>
      <c r="H198" s="90">
        <f>'Scherer Data'!$E$6</f>
        <v>450000</v>
      </c>
      <c r="I198" s="116">
        <f>'Scherer Data'!$F$6*Q198</f>
        <v>421875</v>
      </c>
      <c r="J198" s="85" t="s">
        <v>22</v>
      </c>
      <c r="K198" s="85" t="s">
        <v>63</v>
      </c>
      <c r="L198" s="85" t="s">
        <v>63</v>
      </c>
      <c r="M198" s="85" t="s">
        <v>204</v>
      </c>
      <c r="N198" s="84">
        <f t="shared" si="17"/>
        <v>450000</v>
      </c>
      <c r="O198" s="87">
        <f t="shared" si="18"/>
        <v>421875</v>
      </c>
      <c r="P198" s="88" t="s">
        <v>73</v>
      </c>
      <c r="Q198" s="147">
        <f>1-0.0625</f>
        <v>0.9375</v>
      </c>
      <c r="R198" s="143" t="s">
        <v>203</v>
      </c>
      <c r="S198" s="96" t="s">
        <v>143</v>
      </c>
      <c r="T198" s="84" t="s">
        <v>82</v>
      </c>
      <c r="U198" s="84"/>
      <c r="V198" s="84" t="str">
        <f t="shared" si="19"/>
        <v>3080268EACCLRSCHERER-NON0.9375ls450000Perform environmental survey of above grade structures</v>
      </c>
    </row>
    <row r="199" spans="1:22" x14ac:dyDescent="0.25">
      <c r="A199" s="85" t="s">
        <v>91</v>
      </c>
      <c r="B199" s="86" t="s">
        <v>153</v>
      </c>
      <c r="C199" s="86" t="s">
        <v>71</v>
      </c>
      <c r="D199" s="85" t="s">
        <v>72</v>
      </c>
      <c r="E199" s="102" t="s">
        <v>194</v>
      </c>
      <c r="F199" s="87">
        <f>1*Q199</f>
        <v>0.9375</v>
      </c>
      <c r="G199" s="85" t="s">
        <v>80</v>
      </c>
      <c r="H199" s="89">
        <f>SUMIFS($I$3:$I$289,$E$3:$E$289,$E199,$U$3:$U$289,"MARKUP",$S$3:$S$289,"REMOVAL")*0.0008</f>
        <v>8110.5920000000006</v>
      </c>
      <c r="I199" s="89">
        <f>F199*H199</f>
        <v>7603.68</v>
      </c>
      <c r="J199" s="105" t="s">
        <v>92</v>
      </c>
      <c r="K199" s="85" t="s">
        <v>63</v>
      </c>
      <c r="L199" s="85" t="s">
        <v>63</v>
      </c>
      <c r="M199" s="85" t="str">
        <f t="shared" ref="M199:M230" si="20">J199</f>
        <v>PERMITS</v>
      </c>
      <c r="N199" s="84">
        <f t="shared" si="17"/>
        <v>8110.5920000000006</v>
      </c>
      <c r="O199" s="87">
        <f t="shared" si="18"/>
        <v>7603.68</v>
      </c>
      <c r="P199" s="88" t="s">
        <v>65</v>
      </c>
      <c r="Q199" s="147">
        <f>1-0.0625</f>
        <v>0.9375</v>
      </c>
      <c r="R199" s="143" t="s">
        <v>203</v>
      </c>
      <c r="S199" s="96" t="s">
        <v>143</v>
      </c>
      <c r="T199" s="84" t="s">
        <v>66</v>
      </c>
      <c r="U199" s="84"/>
      <c r="V199" s="84" t="str">
        <f t="shared" si="19"/>
        <v>3080268CCLRSCHERER-ECO0.9375LT8110.592PERMITS</v>
      </c>
    </row>
    <row r="200" spans="1:22" x14ac:dyDescent="0.25">
      <c r="A200" s="85" t="s">
        <v>91</v>
      </c>
      <c r="B200" s="86" t="s">
        <v>153</v>
      </c>
      <c r="C200" s="86" t="s">
        <v>71</v>
      </c>
      <c r="D200" s="85" t="s">
        <v>72</v>
      </c>
      <c r="E200" s="85" t="s">
        <v>193</v>
      </c>
      <c r="F200" s="87">
        <f>1*Q200</f>
        <v>0.9375</v>
      </c>
      <c r="G200" s="85" t="s">
        <v>80</v>
      </c>
      <c r="H200" s="89">
        <f>SUMIFS($I$3:$I$289,$E$3:$E$289,$E200,$U$3:$U$289,"MARKUP",$S$3:$S$289,"REMOVAL")*0.0008</f>
        <v>28072.403200000008</v>
      </c>
      <c r="I200" s="89">
        <f>F200*H200</f>
        <v>26317.878000000008</v>
      </c>
      <c r="J200" s="105" t="s">
        <v>92</v>
      </c>
      <c r="K200" s="85" t="s">
        <v>63</v>
      </c>
      <c r="L200" s="85" t="s">
        <v>63</v>
      </c>
      <c r="M200" s="85" t="str">
        <f t="shared" si="20"/>
        <v>PERMITS</v>
      </c>
      <c r="N200" s="84">
        <f t="shared" si="17"/>
        <v>28072.403200000008</v>
      </c>
      <c r="O200" s="87">
        <f t="shared" si="18"/>
        <v>26317.878000000008</v>
      </c>
      <c r="P200" s="88" t="s">
        <v>73</v>
      </c>
      <c r="Q200" s="147">
        <f>1-0.0625</f>
        <v>0.9375</v>
      </c>
      <c r="R200" s="143" t="s">
        <v>203</v>
      </c>
      <c r="S200" s="96" t="s">
        <v>143</v>
      </c>
      <c r="T200" s="84" t="s">
        <v>66</v>
      </c>
      <c r="U200" s="84"/>
      <c r="V200" s="84" t="str">
        <f t="shared" si="19"/>
        <v>3080268CCLRSCHERER-NON0.9375LT28072.4032PERMITS</v>
      </c>
    </row>
    <row r="201" spans="1:22" x14ac:dyDescent="0.25">
      <c r="A201" s="85" t="s">
        <v>74</v>
      </c>
      <c r="B201" s="86" t="s">
        <v>155</v>
      </c>
      <c r="C201" s="86" t="s">
        <v>71</v>
      </c>
      <c r="D201" s="85" t="s">
        <v>72</v>
      </c>
      <c r="E201" s="85" t="s">
        <v>193</v>
      </c>
      <c r="F201" s="87">
        <f>16*Q201</f>
        <v>15</v>
      </c>
      <c r="G201" s="85" t="s">
        <v>75</v>
      </c>
      <c r="H201" s="87">
        <v>135010.76</v>
      </c>
      <c r="I201" s="87">
        <f>F201*H201</f>
        <v>2025161.4000000001</v>
      </c>
      <c r="J201" s="85" t="s">
        <v>76</v>
      </c>
      <c r="K201" s="85" t="s">
        <v>63</v>
      </c>
      <c r="L201" s="85" t="s">
        <v>63</v>
      </c>
      <c r="M201" s="85" t="str">
        <f t="shared" si="20"/>
        <v>POWER GENERATION SUPERVISION</v>
      </c>
      <c r="N201" s="84">
        <f t="shared" si="17"/>
        <v>135010.76</v>
      </c>
      <c r="O201" s="87">
        <f t="shared" si="18"/>
        <v>2025161.4000000001</v>
      </c>
      <c r="P201" s="88" t="s">
        <v>73</v>
      </c>
      <c r="Q201" s="147">
        <f>1-0.0625</f>
        <v>0.9375</v>
      </c>
      <c r="R201" s="143" t="s">
        <v>203</v>
      </c>
      <c r="S201" s="96" t="s">
        <v>143</v>
      </c>
      <c r="T201" s="84" t="s">
        <v>66</v>
      </c>
      <c r="U201" s="84"/>
      <c r="V201" s="84" t="str">
        <f t="shared" si="19"/>
        <v>3070041CCLRSCHERER-NON15MY135010.76POWER GENERATION SUPERVISION</v>
      </c>
    </row>
    <row r="202" spans="1:22" x14ac:dyDescent="0.25">
      <c r="A202" s="85" t="s">
        <v>115</v>
      </c>
      <c r="B202" s="86" t="s">
        <v>158</v>
      </c>
      <c r="C202" s="101" t="s">
        <v>147</v>
      </c>
      <c r="D202" s="85" t="s">
        <v>67</v>
      </c>
      <c r="E202" s="102" t="s">
        <v>194</v>
      </c>
      <c r="F202" s="92">
        <f>'Scherer Data'!$D$34/4*Q202</f>
        <v>243.60000000000002</v>
      </c>
      <c r="G202" s="85" t="s">
        <v>33</v>
      </c>
      <c r="H202" s="91">
        <f>'Scherer Data'!$E$34</f>
        <v>255.1</v>
      </c>
      <c r="I202" s="116">
        <f>'Scherer Data'!$F$34/4*Q202</f>
        <v>58464</v>
      </c>
      <c r="J202" s="85" t="s">
        <v>122</v>
      </c>
      <c r="K202" s="85" t="s">
        <v>63</v>
      </c>
      <c r="L202" s="85" t="s">
        <v>63</v>
      </c>
      <c r="M202" s="85" t="str">
        <f t="shared" si="20"/>
        <v>Precipitators - DEMO</v>
      </c>
      <c r="N202" s="84">
        <f t="shared" si="17"/>
        <v>255.1</v>
      </c>
      <c r="O202" s="87">
        <f t="shared" si="18"/>
        <v>58464</v>
      </c>
      <c r="P202" s="88" t="s">
        <v>65</v>
      </c>
      <c r="Q202" s="147">
        <v>8.4000000000000005E-2</v>
      </c>
      <c r="R202" s="143" t="s">
        <v>203</v>
      </c>
      <c r="S202" s="96" t="s">
        <v>143</v>
      </c>
      <c r="T202" s="84" t="s">
        <v>82</v>
      </c>
      <c r="U202" s="84" t="s">
        <v>99</v>
      </c>
      <c r="V202" s="84" t="str">
        <f t="shared" si="19"/>
        <v>312UND11LRSCHERER-ECO243.6nt255.1Precipitators - DEMO</v>
      </c>
    </row>
    <row r="203" spans="1:22" x14ac:dyDescent="0.25">
      <c r="A203" s="85" t="s">
        <v>115</v>
      </c>
      <c r="B203" s="86" t="s">
        <v>158</v>
      </c>
      <c r="C203" s="101" t="s">
        <v>148</v>
      </c>
      <c r="D203" s="85" t="s">
        <v>68</v>
      </c>
      <c r="E203" s="102" t="s">
        <v>194</v>
      </c>
      <c r="F203" s="92">
        <f>'Scherer Data'!$D$34/4*Q203</f>
        <v>243.60000000000002</v>
      </c>
      <c r="G203" s="85" t="s">
        <v>33</v>
      </c>
      <c r="H203" s="91">
        <f>'Scherer Data'!$E$34</f>
        <v>255.1</v>
      </c>
      <c r="I203" s="116">
        <f>'Scherer Data'!$F$34/4*Q203</f>
        <v>58464</v>
      </c>
      <c r="J203" s="85" t="s">
        <v>122</v>
      </c>
      <c r="K203" s="85" t="s">
        <v>63</v>
      </c>
      <c r="L203" s="85" t="s">
        <v>63</v>
      </c>
      <c r="M203" s="85" t="str">
        <f t="shared" si="20"/>
        <v>Precipitators - DEMO</v>
      </c>
      <c r="N203" s="84">
        <f t="shared" si="17"/>
        <v>255.1</v>
      </c>
      <c r="O203" s="87">
        <f t="shared" si="18"/>
        <v>58464</v>
      </c>
      <c r="P203" s="88" t="s">
        <v>65</v>
      </c>
      <c r="Q203" s="147">
        <v>8.4000000000000005E-2</v>
      </c>
      <c r="R203" s="143" t="s">
        <v>203</v>
      </c>
      <c r="S203" s="96" t="s">
        <v>143</v>
      </c>
      <c r="T203" s="84" t="s">
        <v>82</v>
      </c>
      <c r="U203" s="84" t="s">
        <v>99</v>
      </c>
      <c r="V203" s="84" t="str">
        <f t="shared" si="19"/>
        <v>312UND22LRSCHERER-ECO243.6nt255.1Precipitators - DEMO</v>
      </c>
    </row>
    <row r="204" spans="1:22" x14ac:dyDescent="0.25">
      <c r="A204" s="85" t="s">
        <v>115</v>
      </c>
      <c r="B204" s="86" t="s">
        <v>158</v>
      </c>
      <c r="C204" s="101" t="s">
        <v>147</v>
      </c>
      <c r="D204" s="85" t="s">
        <v>67</v>
      </c>
      <c r="E204" s="102" t="s">
        <v>194</v>
      </c>
      <c r="F204" s="92">
        <f>'Scherer Data'!$D$34/4*Q204</f>
        <v>2656.4</v>
      </c>
      <c r="G204" s="85" t="s">
        <v>33</v>
      </c>
      <c r="H204" s="91">
        <f>'Scherer Data'!$E$34</f>
        <v>255.1</v>
      </c>
      <c r="I204" s="116">
        <f>'Scherer Data'!$F$34/4*Q204</f>
        <v>637536</v>
      </c>
      <c r="J204" s="85" t="s">
        <v>122</v>
      </c>
      <c r="K204" s="85" t="s">
        <v>63</v>
      </c>
      <c r="L204" s="85" t="s">
        <v>63</v>
      </c>
      <c r="M204" s="85" t="str">
        <f t="shared" si="20"/>
        <v>Precipitators - DEMO</v>
      </c>
      <c r="N204" s="84">
        <f t="shared" si="17"/>
        <v>255.1</v>
      </c>
      <c r="O204" s="87">
        <f t="shared" si="18"/>
        <v>637536</v>
      </c>
      <c r="P204" s="88" t="s">
        <v>65</v>
      </c>
      <c r="Q204" s="147">
        <v>0.91600000000000004</v>
      </c>
      <c r="R204" s="143" t="s">
        <v>203</v>
      </c>
      <c r="S204" s="96" t="s">
        <v>143</v>
      </c>
      <c r="T204" s="84" t="s">
        <v>82</v>
      </c>
      <c r="U204" s="84" t="s">
        <v>99</v>
      </c>
      <c r="V204" s="84" t="str">
        <f t="shared" si="19"/>
        <v>312UND11LRSCHERER-ECO2656.4nt255.1Precipitators - DEMO</v>
      </c>
    </row>
    <row r="205" spans="1:22" x14ac:dyDescent="0.25">
      <c r="A205" s="85" t="s">
        <v>115</v>
      </c>
      <c r="B205" s="86" t="s">
        <v>158</v>
      </c>
      <c r="C205" s="101" t="s">
        <v>148</v>
      </c>
      <c r="D205" s="85" t="s">
        <v>68</v>
      </c>
      <c r="E205" s="102" t="s">
        <v>194</v>
      </c>
      <c r="F205" s="92">
        <f>'Scherer Data'!$D$34/4*Q205</f>
        <v>2656.4</v>
      </c>
      <c r="G205" s="85" t="s">
        <v>33</v>
      </c>
      <c r="H205" s="91">
        <f>'Scherer Data'!$E$34</f>
        <v>255.1</v>
      </c>
      <c r="I205" s="116">
        <f>'Scherer Data'!$F$34/4*Q205</f>
        <v>637536</v>
      </c>
      <c r="J205" s="85" t="s">
        <v>122</v>
      </c>
      <c r="K205" s="85" t="s">
        <v>63</v>
      </c>
      <c r="L205" s="85" t="s">
        <v>63</v>
      </c>
      <c r="M205" s="85" t="str">
        <f t="shared" si="20"/>
        <v>Precipitators - DEMO</v>
      </c>
      <c r="N205" s="84">
        <f t="shared" si="17"/>
        <v>255.1</v>
      </c>
      <c r="O205" s="87">
        <f t="shared" si="18"/>
        <v>637536</v>
      </c>
      <c r="P205" s="88" t="s">
        <v>65</v>
      </c>
      <c r="Q205" s="147">
        <v>0.91600000000000004</v>
      </c>
      <c r="R205" s="143" t="s">
        <v>203</v>
      </c>
      <c r="S205" s="96" t="s">
        <v>143</v>
      </c>
      <c r="T205" s="84" t="s">
        <v>82</v>
      </c>
      <c r="U205" s="84" t="s">
        <v>99</v>
      </c>
      <c r="V205" s="84" t="str">
        <f t="shared" si="19"/>
        <v>312UND22LRSCHERER-ECO2656.4nt255.1Precipitators - DEMO</v>
      </c>
    </row>
    <row r="206" spans="1:22" x14ac:dyDescent="0.25">
      <c r="A206" s="85" t="s">
        <v>115</v>
      </c>
      <c r="B206" s="86" t="s">
        <v>158</v>
      </c>
      <c r="C206" s="101" t="s">
        <v>149</v>
      </c>
      <c r="D206" s="85" t="s">
        <v>69</v>
      </c>
      <c r="E206" s="102" t="s">
        <v>194</v>
      </c>
      <c r="F206" s="92">
        <f>'Scherer Data'!$D$34/4*Q206</f>
        <v>2175</v>
      </c>
      <c r="G206" s="85" t="s">
        <v>33</v>
      </c>
      <c r="H206" s="91">
        <f>'Scherer Data'!$E$34</f>
        <v>255.1</v>
      </c>
      <c r="I206" s="116">
        <f>'Scherer Data'!$F$34/4*Q206</f>
        <v>522000</v>
      </c>
      <c r="J206" s="85" t="s">
        <v>122</v>
      </c>
      <c r="K206" s="85" t="s">
        <v>63</v>
      </c>
      <c r="L206" s="85" t="s">
        <v>63</v>
      </c>
      <c r="M206" s="85" t="str">
        <f t="shared" si="20"/>
        <v>Precipitators - DEMO</v>
      </c>
      <c r="N206" s="84">
        <f t="shared" si="17"/>
        <v>255.1</v>
      </c>
      <c r="O206" s="87">
        <f t="shared" si="18"/>
        <v>522000</v>
      </c>
      <c r="P206" s="88" t="s">
        <v>65</v>
      </c>
      <c r="Q206" s="147">
        <v>0.75</v>
      </c>
      <c r="R206" s="143" t="s">
        <v>203</v>
      </c>
      <c r="S206" s="96" t="s">
        <v>143</v>
      </c>
      <c r="T206" s="84" t="s">
        <v>82</v>
      </c>
      <c r="U206" s="84" t="s">
        <v>99</v>
      </c>
      <c r="V206" s="84" t="str">
        <f t="shared" si="19"/>
        <v>312UND33LRSCHERER-ECO2175nt255.1Precipitators - DEMO</v>
      </c>
    </row>
    <row r="207" spans="1:22" x14ac:dyDescent="0.25">
      <c r="A207" s="85" t="s">
        <v>115</v>
      </c>
      <c r="B207" s="86" t="s">
        <v>158</v>
      </c>
      <c r="C207" s="101" t="s">
        <v>150</v>
      </c>
      <c r="D207" s="85" t="s">
        <v>70</v>
      </c>
      <c r="E207" s="102" t="s">
        <v>194</v>
      </c>
      <c r="F207" s="92">
        <f>'Scherer Data'!$D$34/4*Q207</f>
        <v>2900</v>
      </c>
      <c r="G207" s="85" t="s">
        <v>33</v>
      </c>
      <c r="H207" s="91">
        <f>'Scherer Data'!$E$34</f>
        <v>255.1</v>
      </c>
      <c r="I207" s="116">
        <f>'Scherer Data'!$F$34/4*Q207</f>
        <v>696000</v>
      </c>
      <c r="J207" s="85" t="s">
        <v>122</v>
      </c>
      <c r="K207" s="85" t="s">
        <v>63</v>
      </c>
      <c r="L207" s="85" t="s">
        <v>63</v>
      </c>
      <c r="M207" s="85" t="str">
        <f t="shared" si="20"/>
        <v>Precipitators - DEMO</v>
      </c>
      <c r="N207" s="84">
        <f t="shared" si="17"/>
        <v>255.1</v>
      </c>
      <c r="O207" s="87">
        <f t="shared" si="18"/>
        <v>696000</v>
      </c>
      <c r="P207" s="88" t="s">
        <v>65</v>
      </c>
      <c r="Q207" s="147">
        <v>1</v>
      </c>
      <c r="R207" s="143" t="s">
        <v>203</v>
      </c>
      <c r="S207" s="96" t="s">
        <v>143</v>
      </c>
      <c r="T207" s="84" t="s">
        <v>82</v>
      </c>
      <c r="U207" s="84" t="s">
        <v>99</v>
      </c>
      <c r="V207" s="84" t="str">
        <f t="shared" si="19"/>
        <v>312UND44LRSCHERER-ECO2900nt255.1Precipitators - DEMO</v>
      </c>
    </row>
    <row r="208" spans="1:22" x14ac:dyDescent="0.25">
      <c r="A208" s="85" t="s">
        <v>115</v>
      </c>
      <c r="B208" s="86" t="s">
        <v>158</v>
      </c>
      <c r="C208" s="101" t="s">
        <v>147</v>
      </c>
      <c r="D208" s="85" t="s">
        <v>112</v>
      </c>
      <c r="E208" s="102" t="s">
        <v>194</v>
      </c>
      <c r="F208" s="92">
        <f>'Scherer Data'!$D$35/4*Q208</f>
        <v>243.60000000000002</v>
      </c>
      <c r="G208" s="85" t="s">
        <v>33</v>
      </c>
      <c r="H208" s="91">
        <f>'Scherer Data'!$E$35</f>
        <v>-108.3695731319762</v>
      </c>
      <c r="I208" s="116">
        <f>'Scherer Data'!$F$35/4*Q208</f>
        <v>-26398.828014949402</v>
      </c>
      <c r="J208" s="85" t="s">
        <v>123</v>
      </c>
      <c r="K208" s="85" t="s">
        <v>110</v>
      </c>
      <c r="L208" s="85" t="s">
        <v>63</v>
      </c>
      <c r="M208" s="85" t="str">
        <f t="shared" si="20"/>
        <v>Precipitators - FE Sales</v>
      </c>
      <c r="N208" s="84">
        <f t="shared" si="17"/>
        <v>-108.3695731319762</v>
      </c>
      <c r="O208" s="87">
        <f t="shared" si="18"/>
        <v>-26398.828014949402</v>
      </c>
      <c r="P208" s="88" t="s">
        <v>65</v>
      </c>
      <c r="Q208" s="147">
        <v>8.4000000000000005E-2</v>
      </c>
      <c r="R208" s="143" t="s">
        <v>203</v>
      </c>
      <c r="S208" s="96" t="s">
        <v>145</v>
      </c>
      <c r="T208" s="84" t="s">
        <v>82</v>
      </c>
      <c r="U208" s="84" t="s">
        <v>99</v>
      </c>
      <c r="V208" s="84" t="str">
        <f t="shared" si="19"/>
        <v>312UND11MSSCHERER-ECO243.6nt-108.369573131976Precipitators - FE Sales</v>
      </c>
    </row>
    <row r="209" spans="1:22" x14ac:dyDescent="0.25">
      <c r="A209" s="85" t="s">
        <v>115</v>
      </c>
      <c r="B209" s="86" t="s">
        <v>158</v>
      </c>
      <c r="C209" s="101" t="s">
        <v>148</v>
      </c>
      <c r="D209" s="85" t="s">
        <v>114</v>
      </c>
      <c r="E209" s="102" t="s">
        <v>194</v>
      </c>
      <c r="F209" s="92">
        <f>'Scherer Data'!$D$35/4*Q209</f>
        <v>243.60000000000002</v>
      </c>
      <c r="G209" s="85" t="s">
        <v>33</v>
      </c>
      <c r="H209" s="91">
        <f>'Scherer Data'!$E$35</f>
        <v>-108.3695731319762</v>
      </c>
      <c r="I209" s="116">
        <f>'Scherer Data'!$F$35/4*Q209</f>
        <v>-26398.828014949402</v>
      </c>
      <c r="J209" s="85" t="s">
        <v>123</v>
      </c>
      <c r="K209" s="85" t="s">
        <v>110</v>
      </c>
      <c r="L209" s="85" t="s">
        <v>63</v>
      </c>
      <c r="M209" s="85" t="str">
        <f t="shared" si="20"/>
        <v>Precipitators - FE Sales</v>
      </c>
      <c r="N209" s="84">
        <f t="shared" si="17"/>
        <v>-108.3695731319762</v>
      </c>
      <c r="O209" s="87">
        <f t="shared" si="18"/>
        <v>-26398.828014949402</v>
      </c>
      <c r="P209" s="88" t="s">
        <v>65</v>
      </c>
      <c r="Q209" s="147">
        <v>8.4000000000000005E-2</v>
      </c>
      <c r="R209" s="143" t="s">
        <v>203</v>
      </c>
      <c r="S209" s="96" t="s">
        <v>145</v>
      </c>
      <c r="T209" s="84" t="s">
        <v>82</v>
      </c>
      <c r="U209" s="84" t="s">
        <v>99</v>
      </c>
      <c r="V209" s="84" t="str">
        <f t="shared" si="19"/>
        <v>312UND22MSSCHERER-ECO243.6nt-108.369573131976Precipitators - FE Sales</v>
      </c>
    </row>
    <row r="210" spans="1:22" x14ac:dyDescent="0.25">
      <c r="A210" s="85" t="s">
        <v>115</v>
      </c>
      <c r="B210" s="86" t="s">
        <v>158</v>
      </c>
      <c r="C210" s="101" t="s">
        <v>147</v>
      </c>
      <c r="D210" s="85" t="s">
        <v>112</v>
      </c>
      <c r="E210" s="102" t="s">
        <v>194</v>
      </c>
      <c r="F210" s="92">
        <f>'Scherer Data'!$D$35/4*Q210</f>
        <v>2656.4</v>
      </c>
      <c r="G210" s="85" t="s">
        <v>33</v>
      </c>
      <c r="H210" s="91">
        <f>'Scherer Data'!$E$35</f>
        <v>-108.3695731319762</v>
      </c>
      <c r="I210" s="116">
        <f>'Scherer Data'!$F$35/4*Q210</f>
        <v>-287872.93406778155</v>
      </c>
      <c r="J210" s="85" t="s">
        <v>123</v>
      </c>
      <c r="K210" s="85" t="s">
        <v>110</v>
      </c>
      <c r="L210" s="85" t="s">
        <v>63</v>
      </c>
      <c r="M210" s="85" t="str">
        <f t="shared" si="20"/>
        <v>Precipitators - FE Sales</v>
      </c>
      <c r="N210" s="84">
        <f t="shared" si="17"/>
        <v>-108.3695731319762</v>
      </c>
      <c r="O210" s="87">
        <f t="shared" si="18"/>
        <v>-287872.93406778155</v>
      </c>
      <c r="P210" s="88" t="s">
        <v>65</v>
      </c>
      <c r="Q210" s="147">
        <v>0.91600000000000004</v>
      </c>
      <c r="R210" s="143" t="s">
        <v>203</v>
      </c>
      <c r="S210" s="96" t="s">
        <v>145</v>
      </c>
      <c r="T210" s="84" t="s">
        <v>82</v>
      </c>
      <c r="U210" s="84" t="s">
        <v>99</v>
      </c>
      <c r="V210" s="84" t="str">
        <f t="shared" si="19"/>
        <v>312UND11MSSCHERER-ECO2656.4nt-108.369573131976Precipitators - FE Sales</v>
      </c>
    </row>
    <row r="211" spans="1:22" ht="15" customHeight="1" x14ac:dyDescent="0.25">
      <c r="A211" s="98" t="s">
        <v>115</v>
      </c>
      <c r="B211" s="86" t="s">
        <v>158</v>
      </c>
      <c r="C211" s="101" t="s">
        <v>148</v>
      </c>
      <c r="D211" s="98" t="s">
        <v>114</v>
      </c>
      <c r="E211" s="102" t="s">
        <v>194</v>
      </c>
      <c r="F211" s="92">
        <f>'Scherer Data'!$D$35/4*Q211</f>
        <v>2656.4</v>
      </c>
      <c r="G211" s="85" t="s">
        <v>33</v>
      </c>
      <c r="H211" s="91">
        <f>'Scherer Data'!$E$35</f>
        <v>-108.3695731319762</v>
      </c>
      <c r="I211" s="116">
        <f>'Scherer Data'!$F$35/4*Q211</f>
        <v>-287872.93406778155</v>
      </c>
      <c r="J211" s="98" t="s">
        <v>123</v>
      </c>
      <c r="K211" s="98" t="s">
        <v>110</v>
      </c>
      <c r="L211" s="98" t="s">
        <v>63</v>
      </c>
      <c r="M211" s="85" t="str">
        <f t="shared" si="20"/>
        <v>Precipitators - FE Sales</v>
      </c>
      <c r="N211" s="84">
        <f t="shared" si="17"/>
        <v>-108.3695731319762</v>
      </c>
      <c r="O211" s="88">
        <f t="shared" si="18"/>
        <v>-287872.93406778155</v>
      </c>
      <c r="P211" s="88" t="s">
        <v>65</v>
      </c>
      <c r="Q211" s="147">
        <v>0.91600000000000004</v>
      </c>
      <c r="R211" s="143" t="s">
        <v>203</v>
      </c>
      <c r="S211" s="96" t="s">
        <v>145</v>
      </c>
      <c r="T211" s="84" t="s">
        <v>82</v>
      </c>
      <c r="U211" s="84" t="s">
        <v>99</v>
      </c>
      <c r="V211" s="84" t="str">
        <f t="shared" si="19"/>
        <v>312UND22MSSCHERER-ECO2656.4nt-108.369573131976Precipitators - FE Sales</v>
      </c>
    </row>
    <row r="212" spans="1:22" ht="15" customHeight="1" x14ac:dyDescent="0.25">
      <c r="A212" s="98" t="s">
        <v>115</v>
      </c>
      <c r="B212" s="86" t="s">
        <v>158</v>
      </c>
      <c r="C212" s="101" t="s">
        <v>149</v>
      </c>
      <c r="D212" s="98" t="s">
        <v>133</v>
      </c>
      <c r="E212" s="102" t="s">
        <v>194</v>
      </c>
      <c r="F212" s="92">
        <f>'Scherer Data'!$D$35/4*Q212</f>
        <v>2175</v>
      </c>
      <c r="G212" s="85" t="s">
        <v>33</v>
      </c>
      <c r="H212" s="91">
        <f>'Scherer Data'!$E$35</f>
        <v>-108.3695731319762</v>
      </c>
      <c r="I212" s="116">
        <f>'Scherer Data'!$F$35/4*Q212</f>
        <v>-235703.82156204822</v>
      </c>
      <c r="J212" s="98" t="s">
        <v>123</v>
      </c>
      <c r="K212" s="98" t="s">
        <v>110</v>
      </c>
      <c r="L212" s="98" t="s">
        <v>63</v>
      </c>
      <c r="M212" s="85" t="str">
        <f t="shared" si="20"/>
        <v>Precipitators - FE Sales</v>
      </c>
      <c r="N212" s="84">
        <f t="shared" si="17"/>
        <v>-108.3695731319762</v>
      </c>
      <c r="O212" s="88">
        <f t="shared" si="18"/>
        <v>-235703.82156204822</v>
      </c>
      <c r="P212" s="88" t="s">
        <v>65</v>
      </c>
      <c r="Q212" s="147">
        <v>0.75</v>
      </c>
      <c r="R212" s="143" t="s">
        <v>203</v>
      </c>
      <c r="S212" s="96" t="s">
        <v>145</v>
      </c>
      <c r="T212" s="84" t="s">
        <v>82</v>
      </c>
      <c r="U212" s="84" t="s">
        <v>99</v>
      </c>
      <c r="V212" s="84" t="str">
        <f t="shared" si="19"/>
        <v>312UND33MSSCHERER-ECO2175nt-108.369573131976Precipitators - FE Sales</v>
      </c>
    </row>
    <row r="213" spans="1:22" ht="15" customHeight="1" x14ac:dyDescent="0.25">
      <c r="A213" s="98" t="s">
        <v>115</v>
      </c>
      <c r="B213" s="86" t="s">
        <v>158</v>
      </c>
      <c r="C213" s="101" t="s">
        <v>150</v>
      </c>
      <c r="D213" s="98" t="s">
        <v>134</v>
      </c>
      <c r="E213" s="102" t="s">
        <v>194</v>
      </c>
      <c r="F213" s="92">
        <f>'Scherer Data'!$D$35/4*Q213</f>
        <v>2900</v>
      </c>
      <c r="G213" s="98" t="s">
        <v>33</v>
      </c>
      <c r="H213" s="91">
        <f>'Scherer Data'!$E$35</f>
        <v>-108.3695731319762</v>
      </c>
      <c r="I213" s="116">
        <f>'Scherer Data'!$F$35/4*Q213</f>
        <v>-314271.76208273094</v>
      </c>
      <c r="J213" s="98" t="s">
        <v>123</v>
      </c>
      <c r="K213" s="98" t="s">
        <v>110</v>
      </c>
      <c r="L213" s="98" t="s">
        <v>63</v>
      </c>
      <c r="M213" s="85" t="str">
        <f t="shared" si="20"/>
        <v>Precipitators - FE Sales</v>
      </c>
      <c r="N213" s="84">
        <f t="shared" si="17"/>
        <v>-108.3695731319762</v>
      </c>
      <c r="O213" s="88">
        <f t="shared" si="18"/>
        <v>-314271.76208273094</v>
      </c>
      <c r="P213" s="88" t="s">
        <v>65</v>
      </c>
      <c r="Q213" s="147">
        <v>1</v>
      </c>
      <c r="R213" s="143" t="s">
        <v>203</v>
      </c>
      <c r="S213" s="96" t="s">
        <v>145</v>
      </c>
      <c r="T213" s="84" t="s">
        <v>82</v>
      </c>
      <c r="U213" s="84" t="s">
        <v>99</v>
      </c>
      <c r="V213" s="84" t="str">
        <f t="shared" si="19"/>
        <v>312UND44MSSCHERER-ECO2900nt-108.369573131976Precipitators - FE Sales</v>
      </c>
    </row>
    <row r="214" spans="1:22" ht="15" customHeight="1" x14ac:dyDescent="0.25">
      <c r="A214" s="98" t="s">
        <v>101</v>
      </c>
      <c r="B214" s="86" t="s">
        <v>152</v>
      </c>
      <c r="C214" s="101" t="s">
        <v>147</v>
      </c>
      <c r="D214" s="98" t="s">
        <v>102</v>
      </c>
      <c r="E214" s="85" t="s">
        <v>193</v>
      </c>
      <c r="F214" s="163">
        <f>'Scherer Data'!$D$28/4*Q214</f>
        <v>378</v>
      </c>
      <c r="G214" s="98" t="s">
        <v>33</v>
      </c>
      <c r="H214" s="90">
        <f>'Scherer Data'!$E$28</f>
        <v>15.305999999999999</v>
      </c>
      <c r="I214" s="166">
        <f>'Scherer Data'!$F$28/4*Q214</f>
        <v>5670</v>
      </c>
      <c r="J214" s="98" t="s">
        <v>103</v>
      </c>
      <c r="K214" s="98" t="s">
        <v>63</v>
      </c>
      <c r="L214" s="98" t="s">
        <v>63</v>
      </c>
      <c r="M214" s="85" t="str">
        <f t="shared" si="20"/>
        <v>Process, haul and backfill brick &amp; block</v>
      </c>
      <c r="N214" s="84">
        <f t="shared" si="17"/>
        <v>15.305999999999999</v>
      </c>
      <c r="O214" s="88">
        <f t="shared" si="18"/>
        <v>5670</v>
      </c>
      <c r="P214" s="88" t="s">
        <v>73</v>
      </c>
      <c r="Q214" s="147">
        <v>8.4000000000000005E-2</v>
      </c>
      <c r="R214" s="143" t="s">
        <v>203</v>
      </c>
      <c r="S214" s="96" t="s">
        <v>146</v>
      </c>
      <c r="T214" s="84" t="s">
        <v>82</v>
      </c>
      <c r="U214" s="84" t="s">
        <v>99</v>
      </c>
      <c r="V214" s="84" t="str">
        <f t="shared" si="19"/>
        <v>3111002CN11LDSCHERER-NON378nt15.306Process, haul and backfill brick &amp; block</v>
      </c>
    </row>
    <row r="215" spans="1:22" ht="15" customHeight="1" x14ac:dyDescent="0.25">
      <c r="A215" s="98" t="s">
        <v>101</v>
      </c>
      <c r="B215" s="86" t="s">
        <v>152</v>
      </c>
      <c r="C215" s="101" t="s">
        <v>148</v>
      </c>
      <c r="D215" s="98" t="s">
        <v>104</v>
      </c>
      <c r="E215" s="85" t="s">
        <v>193</v>
      </c>
      <c r="F215" s="163">
        <f>'Scherer Data'!$D$28/4*Q215</f>
        <v>378</v>
      </c>
      <c r="G215" s="98" t="s">
        <v>33</v>
      </c>
      <c r="H215" s="90">
        <f>'Scherer Data'!$E$28</f>
        <v>15.305999999999999</v>
      </c>
      <c r="I215" s="166">
        <f>'Scherer Data'!$F$28/4*Q215</f>
        <v>5670</v>
      </c>
      <c r="J215" s="98" t="s">
        <v>103</v>
      </c>
      <c r="K215" s="98" t="s">
        <v>63</v>
      </c>
      <c r="L215" s="98" t="s">
        <v>63</v>
      </c>
      <c r="M215" s="85" t="str">
        <f t="shared" si="20"/>
        <v>Process, haul and backfill brick &amp; block</v>
      </c>
      <c r="N215" s="84">
        <f t="shared" si="17"/>
        <v>15.305999999999999</v>
      </c>
      <c r="O215" s="88">
        <f t="shared" si="18"/>
        <v>5670</v>
      </c>
      <c r="P215" s="88" t="s">
        <v>73</v>
      </c>
      <c r="Q215" s="147">
        <v>8.4000000000000005E-2</v>
      </c>
      <c r="R215" s="143" t="s">
        <v>203</v>
      </c>
      <c r="S215" s="96" t="s">
        <v>146</v>
      </c>
      <c r="T215" s="84" t="s">
        <v>82</v>
      </c>
      <c r="U215" s="84" t="s">
        <v>99</v>
      </c>
      <c r="V215" s="84" t="str">
        <f t="shared" si="19"/>
        <v>3111002CN22LDSCHERER-NON378nt15.306Process, haul and backfill brick &amp; block</v>
      </c>
    </row>
    <row r="216" spans="1:22" x14ac:dyDescent="0.25">
      <c r="A216" s="85" t="s">
        <v>101</v>
      </c>
      <c r="B216" s="86" t="s">
        <v>152</v>
      </c>
      <c r="C216" s="101" t="s">
        <v>147</v>
      </c>
      <c r="D216" s="85" t="s">
        <v>102</v>
      </c>
      <c r="E216" s="85" t="s">
        <v>193</v>
      </c>
      <c r="F216" s="163">
        <f>'Scherer Data'!$D$28/4*Q216</f>
        <v>4122</v>
      </c>
      <c r="G216" s="85" t="s">
        <v>33</v>
      </c>
      <c r="H216" s="90">
        <f>'Scherer Data'!$E$28</f>
        <v>15.305999999999999</v>
      </c>
      <c r="I216" s="166">
        <f>'Scherer Data'!$F$28/4*Q216</f>
        <v>61830</v>
      </c>
      <c r="J216" s="98" t="s">
        <v>103</v>
      </c>
      <c r="K216" s="85" t="s">
        <v>63</v>
      </c>
      <c r="L216" s="85" t="s">
        <v>63</v>
      </c>
      <c r="M216" s="85" t="str">
        <f t="shared" si="20"/>
        <v>Process, haul and backfill brick &amp; block</v>
      </c>
      <c r="N216" s="84">
        <f t="shared" si="17"/>
        <v>15.305999999999999</v>
      </c>
      <c r="O216" s="87">
        <f t="shared" si="18"/>
        <v>61830</v>
      </c>
      <c r="P216" s="88" t="s">
        <v>73</v>
      </c>
      <c r="Q216" s="147">
        <v>0.91600000000000004</v>
      </c>
      <c r="R216" s="143" t="s">
        <v>203</v>
      </c>
      <c r="S216" s="96" t="s">
        <v>146</v>
      </c>
      <c r="T216" s="84" t="s">
        <v>82</v>
      </c>
      <c r="U216" s="84" t="s">
        <v>99</v>
      </c>
      <c r="V216" s="84" t="str">
        <f t="shared" si="19"/>
        <v>3111002CN11LDSCHERER-NON4122nt15.306Process, haul and backfill brick &amp; block</v>
      </c>
    </row>
    <row r="217" spans="1:22" x14ac:dyDescent="0.25">
      <c r="A217" s="85" t="s">
        <v>101</v>
      </c>
      <c r="B217" s="86" t="s">
        <v>152</v>
      </c>
      <c r="C217" s="101" t="s">
        <v>148</v>
      </c>
      <c r="D217" s="85" t="s">
        <v>104</v>
      </c>
      <c r="E217" s="85" t="s">
        <v>193</v>
      </c>
      <c r="F217" s="163">
        <f>'Scherer Data'!$D$28/4*Q217</f>
        <v>4122</v>
      </c>
      <c r="G217" s="85" t="s">
        <v>33</v>
      </c>
      <c r="H217" s="90">
        <f>'Scherer Data'!$E$28</f>
        <v>15.305999999999999</v>
      </c>
      <c r="I217" s="166">
        <f>'Scherer Data'!$F$28/4*Q217</f>
        <v>61830</v>
      </c>
      <c r="J217" s="98" t="s">
        <v>103</v>
      </c>
      <c r="K217" s="85" t="s">
        <v>63</v>
      </c>
      <c r="L217" s="85" t="s">
        <v>63</v>
      </c>
      <c r="M217" s="85" t="str">
        <f t="shared" si="20"/>
        <v>Process, haul and backfill brick &amp; block</v>
      </c>
      <c r="N217" s="84">
        <f t="shared" si="17"/>
        <v>15.305999999999999</v>
      </c>
      <c r="O217" s="87">
        <f t="shared" si="18"/>
        <v>61830</v>
      </c>
      <c r="P217" s="88" t="s">
        <v>73</v>
      </c>
      <c r="Q217" s="147">
        <v>0.91600000000000004</v>
      </c>
      <c r="R217" s="143" t="s">
        <v>203</v>
      </c>
      <c r="S217" s="96" t="s">
        <v>146</v>
      </c>
      <c r="T217" s="84" t="s">
        <v>82</v>
      </c>
      <c r="U217" s="84" t="s">
        <v>99</v>
      </c>
      <c r="V217" s="84" t="str">
        <f t="shared" si="19"/>
        <v>3111002CN22LDSCHERER-NON4122nt15.306Process, haul and backfill brick &amp; block</v>
      </c>
    </row>
    <row r="218" spans="1:22" x14ac:dyDescent="0.25">
      <c r="A218" s="85" t="s">
        <v>101</v>
      </c>
      <c r="B218" s="86" t="s">
        <v>152</v>
      </c>
      <c r="C218" s="101" t="s">
        <v>149</v>
      </c>
      <c r="D218" s="85" t="s">
        <v>135</v>
      </c>
      <c r="E218" s="85" t="s">
        <v>193</v>
      </c>
      <c r="F218" s="92">
        <f>'Scherer Data'!$D$28/4*Q218</f>
        <v>3375</v>
      </c>
      <c r="G218" s="85" t="s">
        <v>33</v>
      </c>
      <c r="H218" s="90">
        <f>'Scherer Data'!$E$28</f>
        <v>15.305999999999999</v>
      </c>
      <c r="I218" s="116">
        <f>'Scherer Data'!$F$28/4*Q218</f>
        <v>50625</v>
      </c>
      <c r="J218" s="85" t="s">
        <v>103</v>
      </c>
      <c r="K218" s="85" t="s">
        <v>63</v>
      </c>
      <c r="L218" s="85" t="s">
        <v>63</v>
      </c>
      <c r="M218" s="85" t="str">
        <f t="shared" si="20"/>
        <v>Process, haul and backfill brick &amp; block</v>
      </c>
      <c r="N218" s="84">
        <f t="shared" si="17"/>
        <v>15.305999999999999</v>
      </c>
      <c r="O218" s="87">
        <f t="shared" si="18"/>
        <v>50625</v>
      </c>
      <c r="P218" s="88" t="s">
        <v>73</v>
      </c>
      <c r="Q218" s="147">
        <v>0.75</v>
      </c>
      <c r="R218" s="143" t="s">
        <v>203</v>
      </c>
      <c r="S218" s="96" t="s">
        <v>146</v>
      </c>
      <c r="T218" s="84" t="s">
        <v>82</v>
      </c>
      <c r="U218" s="84" t="s">
        <v>99</v>
      </c>
      <c r="V218" s="84" t="str">
        <f t="shared" si="19"/>
        <v>3111002CN33LDSCHERER-NON3375nt15.306Process, haul and backfill brick &amp; block</v>
      </c>
    </row>
    <row r="219" spans="1:22" x14ac:dyDescent="0.25">
      <c r="A219" s="85" t="s">
        <v>101</v>
      </c>
      <c r="B219" s="86" t="s">
        <v>152</v>
      </c>
      <c r="C219" s="101" t="s">
        <v>150</v>
      </c>
      <c r="D219" s="85" t="s">
        <v>136</v>
      </c>
      <c r="E219" s="85" t="s">
        <v>193</v>
      </c>
      <c r="F219" s="92">
        <f>'Scherer Data'!$D$28/4*Q219</f>
        <v>4500</v>
      </c>
      <c r="G219" s="85" t="s">
        <v>33</v>
      </c>
      <c r="H219" s="90">
        <f>'Scherer Data'!$E$28</f>
        <v>15.305999999999999</v>
      </c>
      <c r="I219" s="116">
        <f>'Scherer Data'!$F$28/4*Q219</f>
        <v>67500</v>
      </c>
      <c r="J219" s="85" t="s">
        <v>103</v>
      </c>
      <c r="K219" s="85" t="s">
        <v>63</v>
      </c>
      <c r="L219" s="85" t="s">
        <v>63</v>
      </c>
      <c r="M219" s="85" t="str">
        <f t="shared" si="20"/>
        <v>Process, haul and backfill brick &amp; block</v>
      </c>
      <c r="N219" s="84">
        <f t="shared" si="17"/>
        <v>15.305999999999999</v>
      </c>
      <c r="O219" s="87">
        <f t="shared" si="18"/>
        <v>67500</v>
      </c>
      <c r="P219" s="88" t="s">
        <v>73</v>
      </c>
      <c r="Q219" s="147">
        <v>1</v>
      </c>
      <c r="R219" s="143" t="s">
        <v>203</v>
      </c>
      <c r="S219" s="96" t="s">
        <v>146</v>
      </c>
      <c r="T219" s="84" t="s">
        <v>82</v>
      </c>
      <c r="U219" s="84" t="s">
        <v>99</v>
      </c>
      <c r="V219" s="84" t="str">
        <f t="shared" si="19"/>
        <v>3111002CN44LDSCHERER-NON4500nt15.306Process, haul and backfill brick &amp; block</v>
      </c>
    </row>
    <row r="220" spans="1:22" x14ac:dyDescent="0.25">
      <c r="A220" s="100" t="s">
        <v>115</v>
      </c>
      <c r="B220" s="86" t="s">
        <v>158</v>
      </c>
      <c r="C220" s="101" t="s">
        <v>147</v>
      </c>
      <c r="D220" s="102" t="s">
        <v>67</v>
      </c>
      <c r="E220" s="102" t="s">
        <v>194</v>
      </c>
      <c r="F220" s="108">
        <f>'Scherer Data'!$D$38/4*Q220</f>
        <v>231.00000000000003</v>
      </c>
      <c r="G220" s="102" t="s">
        <v>33</v>
      </c>
      <c r="H220" s="103">
        <f>'Scherer Data'!$E$38</f>
        <v>275.50799999999998</v>
      </c>
      <c r="I220" s="136">
        <f>'Scherer Data'!$F$38/4*Q220</f>
        <v>60060.000000000007</v>
      </c>
      <c r="J220" s="102" t="s">
        <v>138</v>
      </c>
      <c r="K220" s="102"/>
      <c r="L220" s="102"/>
      <c r="M220" s="85" t="str">
        <f t="shared" si="20"/>
        <v>SCR DEMO</v>
      </c>
      <c r="N220" s="167">
        <f t="shared" si="17"/>
        <v>275.50799999999998</v>
      </c>
      <c r="O220" s="103">
        <f t="shared" si="18"/>
        <v>60060.000000000007</v>
      </c>
      <c r="P220" s="167" t="s">
        <v>65</v>
      </c>
      <c r="Q220" s="147">
        <v>8.4000000000000005E-2</v>
      </c>
      <c r="R220" s="143" t="s">
        <v>203</v>
      </c>
      <c r="S220" s="96" t="s">
        <v>143</v>
      </c>
      <c r="T220" s="167" t="s">
        <v>82</v>
      </c>
      <c r="U220" s="167" t="s">
        <v>99</v>
      </c>
      <c r="V220" s="84" t="str">
        <f t="shared" si="19"/>
        <v>312UND11LRSCHERER-ECO231nt275.508SCR DEMO</v>
      </c>
    </row>
    <row r="221" spans="1:22" x14ac:dyDescent="0.25">
      <c r="A221" s="100" t="s">
        <v>115</v>
      </c>
      <c r="B221" s="86" t="s">
        <v>158</v>
      </c>
      <c r="C221" s="101" t="s">
        <v>148</v>
      </c>
      <c r="D221" s="102" t="s">
        <v>68</v>
      </c>
      <c r="E221" s="102" t="s">
        <v>194</v>
      </c>
      <c r="F221" s="108">
        <f>'Scherer Data'!$D$38/4*Q221</f>
        <v>231.00000000000003</v>
      </c>
      <c r="G221" s="102" t="s">
        <v>33</v>
      </c>
      <c r="H221" s="103">
        <f>'Scherer Data'!$E$38</f>
        <v>275.50799999999998</v>
      </c>
      <c r="I221" s="136">
        <f>'Scherer Data'!$F$38/4*Q221</f>
        <v>60060.000000000007</v>
      </c>
      <c r="J221" s="102" t="s">
        <v>138</v>
      </c>
      <c r="K221" s="102"/>
      <c r="L221" s="102"/>
      <c r="M221" s="85" t="str">
        <f t="shared" si="20"/>
        <v>SCR DEMO</v>
      </c>
      <c r="N221" s="167">
        <f t="shared" si="17"/>
        <v>275.50799999999998</v>
      </c>
      <c r="O221" s="103">
        <f t="shared" si="18"/>
        <v>60060.000000000007</v>
      </c>
      <c r="P221" s="167" t="s">
        <v>65</v>
      </c>
      <c r="Q221" s="147">
        <v>8.4000000000000005E-2</v>
      </c>
      <c r="R221" s="143" t="s">
        <v>203</v>
      </c>
      <c r="S221" s="96" t="s">
        <v>143</v>
      </c>
      <c r="T221" s="167" t="s">
        <v>82</v>
      </c>
      <c r="U221" s="167" t="s">
        <v>99</v>
      </c>
      <c r="V221" s="84" t="str">
        <f t="shared" si="19"/>
        <v>312UND22LRSCHERER-ECO231nt275.508SCR DEMO</v>
      </c>
    </row>
    <row r="222" spans="1:22" x14ac:dyDescent="0.25">
      <c r="A222" s="100" t="s">
        <v>115</v>
      </c>
      <c r="B222" s="86" t="s">
        <v>158</v>
      </c>
      <c r="C222" s="101" t="s">
        <v>147</v>
      </c>
      <c r="D222" s="102" t="s">
        <v>67</v>
      </c>
      <c r="E222" s="102" t="s">
        <v>194</v>
      </c>
      <c r="F222" s="108">
        <f>'Scherer Data'!$D$38/4*Q222</f>
        <v>2519</v>
      </c>
      <c r="G222" s="102" t="s">
        <v>33</v>
      </c>
      <c r="H222" s="103">
        <f>'Scherer Data'!$E$38</f>
        <v>275.50799999999998</v>
      </c>
      <c r="I222" s="136">
        <f>'Scherer Data'!$F$38/4*Q222</f>
        <v>654940</v>
      </c>
      <c r="J222" s="102" t="s">
        <v>138</v>
      </c>
      <c r="K222" s="102"/>
      <c r="L222" s="102"/>
      <c r="M222" s="85" t="str">
        <f t="shared" si="20"/>
        <v>SCR DEMO</v>
      </c>
      <c r="N222" s="167">
        <f t="shared" si="17"/>
        <v>275.50799999999998</v>
      </c>
      <c r="O222" s="103">
        <f t="shared" si="18"/>
        <v>654940</v>
      </c>
      <c r="P222" s="167" t="s">
        <v>65</v>
      </c>
      <c r="Q222" s="147">
        <v>0.91600000000000004</v>
      </c>
      <c r="R222" s="143" t="s">
        <v>203</v>
      </c>
      <c r="S222" s="96" t="s">
        <v>143</v>
      </c>
      <c r="T222" s="167" t="s">
        <v>82</v>
      </c>
      <c r="U222" s="167" t="s">
        <v>99</v>
      </c>
      <c r="V222" s="84" t="str">
        <f t="shared" si="19"/>
        <v>312UND11LRSCHERER-ECO2519nt275.508SCR DEMO</v>
      </c>
    </row>
    <row r="223" spans="1:22" x14ac:dyDescent="0.25">
      <c r="A223" s="100" t="s">
        <v>115</v>
      </c>
      <c r="B223" s="86" t="s">
        <v>158</v>
      </c>
      <c r="C223" s="101" t="s">
        <v>148</v>
      </c>
      <c r="D223" s="102" t="s">
        <v>68</v>
      </c>
      <c r="E223" s="102" t="s">
        <v>194</v>
      </c>
      <c r="F223" s="108">
        <f>'Scherer Data'!$D$38/4*Q223</f>
        <v>2519</v>
      </c>
      <c r="G223" s="102" t="s">
        <v>33</v>
      </c>
      <c r="H223" s="103">
        <f>'Scherer Data'!$E$38</f>
        <v>275.50799999999998</v>
      </c>
      <c r="I223" s="136">
        <f>'Scherer Data'!$F$38/4*Q223</f>
        <v>654940</v>
      </c>
      <c r="J223" s="102" t="s">
        <v>138</v>
      </c>
      <c r="K223" s="102"/>
      <c r="L223" s="102"/>
      <c r="M223" s="85" t="str">
        <f t="shared" si="20"/>
        <v>SCR DEMO</v>
      </c>
      <c r="N223" s="167">
        <f t="shared" si="17"/>
        <v>275.50799999999998</v>
      </c>
      <c r="O223" s="103">
        <f t="shared" si="18"/>
        <v>654940</v>
      </c>
      <c r="P223" s="167" t="s">
        <v>65</v>
      </c>
      <c r="Q223" s="147">
        <v>0.91600000000000004</v>
      </c>
      <c r="R223" s="143" t="s">
        <v>203</v>
      </c>
      <c r="S223" s="96" t="s">
        <v>143</v>
      </c>
      <c r="T223" s="167" t="s">
        <v>82</v>
      </c>
      <c r="U223" s="167" t="s">
        <v>99</v>
      </c>
      <c r="V223" s="84" t="str">
        <f t="shared" si="19"/>
        <v>312UND22LRSCHERER-ECO2519nt275.508SCR DEMO</v>
      </c>
    </row>
    <row r="224" spans="1:22" ht="15" customHeight="1" x14ac:dyDescent="0.25">
      <c r="A224" s="100" t="s">
        <v>115</v>
      </c>
      <c r="B224" s="86" t="s">
        <v>158</v>
      </c>
      <c r="C224" s="101" t="s">
        <v>149</v>
      </c>
      <c r="D224" s="102" t="s">
        <v>69</v>
      </c>
      <c r="E224" s="102" t="s">
        <v>194</v>
      </c>
      <c r="F224" s="108">
        <f>'Scherer Data'!$D$38/4*Q224</f>
        <v>2062.5</v>
      </c>
      <c r="G224" s="102" t="s">
        <v>33</v>
      </c>
      <c r="H224" s="168">
        <f>'Scherer Data'!$E$38</f>
        <v>275.50799999999998</v>
      </c>
      <c r="I224" s="136">
        <f>'Scherer Data'!$F$38/4*Q224</f>
        <v>536250</v>
      </c>
      <c r="J224" s="102" t="s">
        <v>138</v>
      </c>
      <c r="K224" s="102"/>
      <c r="L224" s="102"/>
      <c r="M224" s="85" t="str">
        <f t="shared" si="20"/>
        <v>SCR DEMO</v>
      </c>
      <c r="N224" s="167">
        <f t="shared" si="17"/>
        <v>275.50799999999998</v>
      </c>
      <c r="O224" s="103">
        <f t="shared" si="18"/>
        <v>536250</v>
      </c>
      <c r="P224" s="167" t="s">
        <v>65</v>
      </c>
      <c r="Q224" s="147">
        <v>0.75</v>
      </c>
      <c r="R224" s="143" t="s">
        <v>203</v>
      </c>
      <c r="S224" s="96" t="s">
        <v>143</v>
      </c>
      <c r="T224" s="167" t="s">
        <v>82</v>
      </c>
      <c r="U224" s="167" t="s">
        <v>99</v>
      </c>
      <c r="V224" s="84" t="str">
        <f t="shared" si="19"/>
        <v>312UND33LRSCHERER-ECO2062.5nt275.508SCR DEMO</v>
      </c>
    </row>
    <row r="225" spans="1:22" ht="15" customHeight="1" x14ac:dyDescent="0.25">
      <c r="A225" s="100" t="s">
        <v>115</v>
      </c>
      <c r="B225" s="86" t="s">
        <v>158</v>
      </c>
      <c r="C225" s="101" t="s">
        <v>150</v>
      </c>
      <c r="D225" s="102" t="s">
        <v>70</v>
      </c>
      <c r="E225" s="102" t="s">
        <v>194</v>
      </c>
      <c r="F225" s="108">
        <f>'Scherer Data'!$D$38/4*Q225</f>
        <v>2750</v>
      </c>
      <c r="G225" s="102" t="s">
        <v>33</v>
      </c>
      <c r="H225" s="168">
        <f>'Scherer Data'!$E$38</f>
        <v>275.50799999999998</v>
      </c>
      <c r="I225" s="136">
        <f>'Scherer Data'!$F$38/4*Q225</f>
        <v>715000</v>
      </c>
      <c r="J225" s="102" t="s">
        <v>138</v>
      </c>
      <c r="K225" s="102"/>
      <c r="L225" s="102"/>
      <c r="M225" s="85" t="str">
        <f t="shared" si="20"/>
        <v>SCR DEMO</v>
      </c>
      <c r="N225" s="167">
        <f t="shared" si="17"/>
        <v>275.50799999999998</v>
      </c>
      <c r="O225" s="103">
        <f t="shared" si="18"/>
        <v>715000</v>
      </c>
      <c r="P225" s="167" t="s">
        <v>65</v>
      </c>
      <c r="Q225" s="147">
        <v>1</v>
      </c>
      <c r="R225" s="143" t="s">
        <v>203</v>
      </c>
      <c r="S225" s="96" t="s">
        <v>143</v>
      </c>
      <c r="T225" s="167" t="s">
        <v>82</v>
      </c>
      <c r="U225" s="167" t="s">
        <v>99</v>
      </c>
      <c r="V225" s="84" t="str">
        <f t="shared" si="19"/>
        <v>312UND44LRSCHERER-ECO2750nt275.508SCR DEMO</v>
      </c>
    </row>
    <row r="226" spans="1:22" ht="15" customHeight="1" x14ac:dyDescent="0.25">
      <c r="A226" s="100" t="s">
        <v>115</v>
      </c>
      <c r="B226" s="86" t="s">
        <v>158</v>
      </c>
      <c r="C226" s="101" t="s">
        <v>147</v>
      </c>
      <c r="D226" s="102" t="s">
        <v>112</v>
      </c>
      <c r="E226" s="102" t="s">
        <v>194</v>
      </c>
      <c r="F226" s="108">
        <f>'Scherer Data'!$D$39/4*Q226</f>
        <v>231.00000000000003</v>
      </c>
      <c r="G226" s="102" t="s">
        <v>33</v>
      </c>
      <c r="H226" s="103">
        <f>'Scherer Data'!$E$39</f>
        <v>-108.3695731319762</v>
      </c>
      <c r="I226" s="136">
        <f>'Scherer Data'!$F$39/4*Q226</f>
        <v>-25033.371393486505</v>
      </c>
      <c r="J226" s="102" t="s">
        <v>139</v>
      </c>
      <c r="K226" s="85" t="s">
        <v>110</v>
      </c>
      <c r="L226" s="102"/>
      <c r="M226" s="85" t="str">
        <f t="shared" si="20"/>
        <v>SCR FE SALES</v>
      </c>
      <c r="N226" s="167">
        <f t="shared" si="17"/>
        <v>-108.3695731319762</v>
      </c>
      <c r="O226" s="103">
        <f t="shared" si="18"/>
        <v>-25033.371393486505</v>
      </c>
      <c r="P226" s="167" t="s">
        <v>65</v>
      </c>
      <c r="Q226" s="147">
        <v>8.4000000000000005E-2</v>
      </c>
      <c r="R226" s="143" t="s">
        <v>203</v>
      </c>
      <c r="S226" s="96" t="s">
        <v>145</v>
      </c>
      <c r="T226" s="167" t="s">
        <v>82</v>
      </c>
      <c r="U226" s="167" t="s">
        <v>99</v>
      </c>
      <c r="V226" s="84" t="str">
        <f t="shared" si="19"/>
        <v>312UND11MSSCHERER-ECO231nt-108.369573131976SCR FE SALES</v>
      </c>
    </row>
    <row r="227" spans="1:22" ht="15" customHeight="1" x14ac:dyDescent="0.25">
      <c r="A227" s="100" t="s">
        <v>115</v>
      </c>
      <c r="B227" s="86" t="s">
        <v>158</v>
      </c>
      <c r="C227" s="101" t="s">
        <v>148</v>
      </c>
      <c r="D227" s="102" t="s">
        <v>114</v>
      </c>
      <c r="E227" s="102" t="s">
        <v>194</v>
      </c>
      <c r="F227" s="108">
        <f>'Scherer Data'!$D$39/4*Q227</f>
        <v>231.00000000000003</v>
      </c>
      <c r="G227" s="102" t="s">
        <v>33</v>
      </c>
      <c r="H227" s="103">
        <f>'Scherer Data'!$E$39</f>
        <v>-108.3695731319762</v>
      </c>
      <c r="I227" s="136">
        <f>'Scherer Data'!$F$39/4*Q227</f>
        <v>-25033.371393486505</v>
      </c>
      <c r="J227" s="102" t="s">
        <v>139</v>
      </c>
      <c r="K227" s="85" t="s">
        <v>110</v>
      </c>
      <c r="L227" s="102"/>
      <c r="M227" s="85" t="str">
        <f t="shared" si="20"/>
        <v>SCR FE SALES</v>
      </c>
      <c r="N227" s="167">
        <f t="shared" si="17"/>
        <v>-108.3695731319762</v>
      </c>
      <c r="O227" s="103">
        <f t="shared" si="18"/>
        <v>-25033.371393486505</v>
      </c>
      <c r="P227" s="167" t="s">
        <v>65</v>
      </c>
      <c r="Q227" s="147">
        <v>8.4000000000000005E-2</v>
      </c>
      <c r="R227" s="143" t="s">
        <v>203</v>
      </c>
      <c r="S227" s="96" t="s">
        <v>145</v>
      </c>
      <c r="T227" s="167" t="s">
        <v>82</v>
      </c>
      <c r="U227" s="167" t="s">
        <v>99</v>
      </c>
      <c r="V227" s="84" t="str">
        <f t="shared" si="19"/>
        <v>312UND22MSSCHERER-ECO231nt-108.369573131976SCR FE SALES</v>
      </c>
    </row>
    <row r="228" spans="1:22" ht="15" customHeight="1" x14ac:dyDescent="0.25">
      <c r="A228" s="100" t="s">
        <v>115</v>
      </c>
      <c r="B228" s="86" t="s">
        <v>158</v>
      </c>
      <c r="C228" s="101" t="s">
        <v>147</v>
      </c>
      <c r="D228" s="102" t="s">
        <v>112</v>
      </c>
      <c r="E228" s="102" t="s">
        <v>194</v>
      </c>
      <c r="F228" s="108">
        <f>'Scherer Data'!$D$39/4*Q228</f>
        <v>2519</v>
      </c>
      <c r="G228" s="102" t="s">
        <v>33</v>
      </c>
      <c r="H228" s="103">
        <f>'Scherer Data'!$E$39</f>
        <v>-108.3695731319762</v>
      </c>
      <c r="I228" s="136">
        <f>'Scherer Data'!$F$39/4*Q228</f>
        <v>-272982.95471944805</v>
      </c>
      <c r="J228" s="102" t="s">
        <v>139</v>
      </c>
      <c r="K228" s="85" t="s">
        <v>110</v>
      </c>
      <c r="L228" s="102"/>
      <c r="M228" s="85" t="str">
        <f t="shared" si="20"/>
        <v>SCR FE SALES</v>
      </c>
      <c r="N228" s="167">
        <f t="shared" si="17"/>
        <v>-108.3695731319762</v>
      </c>
      <c r="O228" s="103">
        <f t="shared" si="18"/>
        <v>-272982.95471944805</v>
      </c>
      <c r="P228" s="167" t="s">
        <v>65</v>
      </c>
      <c r="Q228" s="147">
        <v>0.91600000000000004</v>
      </c>
      <c r="R228" s="143" t="s">
        <v>203</v>
      </c>
      <c r="S228" s="96" t="s">
        <v>145</v>
      </c>
      <c r="T228" s="167" t="s">
        <v>82</v>
      </c>
      <c r="U228" s="167" t="s">
        <v>99</v>
      </c>
      <c r="V228" s="84" t="str">
        <f t="shared" si="19"/>
        <v>312UND11MSSCHERER-ECO2519nt-108.369573131976SCR FE SALES</v>
      </c>
    </row>
    <row r="229" spans="1:22" ht="15" customHeight="1" x14ac:dyDescent="0.25">
      <c r="A229" s="100" t="s">
        <v>115</v>
      </c>
      <c r="B229" s="86" t="s">
        <v>158</v>
      </c>
      <c r="C229" s="101" t="s">
        <v>148</v>
      </c>
      <c r="D229" s="102" t="s">
        <v>114</v>
      </c>
      <c r="E229" s="102" t="s">
        <v>194</v>
      </c>
      <c r="F229" s="108">
        <f>'Scherer Data'!$D$39/4*Q229</f>
        <v>2519</v>
      </c>
      <c r="G229" s="102" t="s">
        <v>33</v>
      </c>
      <c r="H229" s="103">
        <f>'Scherer Data'!$E$39</f>
        <v>-108.3695731319762</v>
      </c>
      <c r="I229" s="136">
        <f>'Scherer Data'!$F$39/4*Q229</f>
        <v>-272982.95471944805</v>
      </c>
      <c r="J229" s="102" t="s">
        <v>139</v>
      </c>
      <c r="K229" s="85" t="s">
        <v>110</v>
      </c>
      <c r="L229" s="102"/>
      <c r="M229" s="85" t="str">
        <f t="shared" si="20"/>
        <v>SCR FE SALES</v>
      </c>
      <c r="N229" s="167">
        <f t="shared" si="17"/>
        <v>-108.3695731319762</v>
      </c>
      <c r="O229" s="103">
        <f t="shared" si="18"/>
        <v>-272982.95471944805</v>
      </c>
      <c r="P229" s="167" t="s">
        <v>65</v>
      </c>
      <c r="Q229" s="147">
        <v>0.91600000000000004</v>
      </c>
      <c r="R229" s="143" t="s">
        <v>203</v>
      </c>
      <c r="S229" s="96" t="s">
        <v>145</v>
      </c>
      <c r="T229" s="167" t="s">
        <v>82</v>
      </c>
      <c r="U229" s="167" t="s">
        <v>99</v>
      </c>
      <c r="V229" s="84" t="str">
        <f t="shared" si="19"/>
        <v>312UND22MSSCHERER-ECO2519nt-108.369573131976SCR FE SALES</v>
      </c>
    </row>
    <row r="230" spans="1:22" ht="15" customHeight="1" x14ac:dyDescent="0.25">
      <c r="A230" s="100" t="s">
        <v>115</v>
      </c>
      <c r="B230" s="86" t="s">
        <v>158</v>
      </c>
      <c r="C230" s="101" t="s">
        <v>149</v>
      </c>
      <c r="D230" s="102" t="s">
        <v>133</v>
      </c>
      <c r="E230" s="102" t="s">
        <v>194</v>
      </c>
      <c r="F230" s="108">
        <f>'Scherer Data'!$D$39/4*Q230</f>
        <v>2062.5</v>
      </c>
      <c r="G230" s="102" t="s">
        <v>33</v>
      </c>
      <c r="H230" s="103">
        <f>'Scherer Data'!$E$39</f>
        <v>-108.3695731319762</v>
      </c>
      <c r="I230" s="136">
        <f>'Scherer Data'!$F$39/4*Q230</f>
        <v>-223512.24458470091</v>
      </c>
      <c r="J230" s="102" t="s">
        <v>139</v>
      </c>
      <c r="K230" s="85" t="s">
        <v>110</v>
      </c>
      <c r="L230" s="102"/>
      <c r="M230" s="85" t="str">
        <f t="shared" si="20"/>
        <v>SCR FE SALES</v>
      </c>
      <c r="N230" s="167">
        <f t="shared" si="17"/>
        <v>-108.3695731319762</v>
      </c>
      <c r="O230" s="103">
        <f t="shared" si="18"/>
        <v>-223512.24458470091</v>
      </c>
      <c r="P230" s="167" t="s">
        <v>65</v>
      </c>
      <c r="Q230" s="147">
        <v>0.75</v>
      </c>
      <c r="R230" s="143" t="s">
        <v>203</v>
      </c>
      <c r="S230" s="96" t="s">
        <v>145</v>
      </c>
      <c r="T230" s="167" t="s">
        <v>82</v>
      </c>
      <c r="U230" s="167" t="s">
        <v>99</v>
      </c>
      <c r="V230" s="84" t="str">
        <f t="shared" si="19"/>
        <v>312UND33MSSCHERER-ECO2062.5nt-108.369573131976SCR FE SALES</v>
      </c>
    </row>
    <row r="231" spans="1:22" ht="15" customHeight="1" x14ac:dyDescent="0.25">
      <c r="A231" s="100" t="s">
        <v>115</v>
      </c>
      <c r="B231" s="86" t="s">
        <v>158</v>
      </c>
      <c r="C231" s="101" t="s">
        <v>150</v>
      </c>
      <c r="D231" s="102" t="s">
        <v>134</v>
      </c>
      <c r="E231" s="102" t="s">
        <v>194</v>
      </c>
      <c r="F231" s="108">
        <f>'Scherer Data'!$D$39/4*Q231</f>
        <v>2750</v>
      </c>
      <c r="G231" s="102" t="s">
        <v>33</v>
      </c>
      <c r="H231" s="103">
        <f>'Scherer Data'!$E$39</f>
        <v>-108.3695731319762</v>
      </c>
      <c r="I231" s="136">
        <f>'Scherer Data'!$F$39/4*Q231</f>
        <v>-298016.32611293456</v>
      </c>
      <c r="J231" s="102" t="s">
        <v>139</v>
      </c>
      <c r="K231" s="85" t="s">
        <v>110</v>
      </c>
      <c r="L231" s="102"/>
      <c r="M231" s="85" t="str">
        <f t="shared" ref="M231:M253" si="21">J231</f>
        <v>SCR FE SALES</v>
      </c>
      <c r="N231" s="167">
        <f t="shared" si="17"/>
        <v>-108.3695731319762</v>
      </c>
      <c r="O231" s="103">
        <f t="shared" si="18"/>
        <v>-298016.32611293456</v>
      </c>
      <c r="P231" s="167" t="s">
        <v>65</v>
      </c>
      <c r="Q231" s="147">
        <v>1</v>
      </c>
      <c r="R231" s="143" t="s">
        <v>203</v>
      </c>
      <c r="S231" s="96" t="s">
        <v>145</v>
      </c>
      <c r="T231" s="167" t="s">
        <v>82</v>
      </c>
      <c r="U231" s="167" t="s">
        <v>99</v>
      </c>
      <c r="V231" s="84" t="str">
        <f t="shared" si="19"/>
        <v>312UND44MSSCHERER-ECO2750nt-108.369573131976SCR FE SALES</v>
      </c>
    </row>
    <row r="232" spans="1:22" ht="15" customHeight="1" x14ac:dyDescent="0.25">
      <c r="A232" s="106">
        <v>3080241</v>
      </c>
      <c r="B232" s="86" t="s">
        <v>153</v>
      </c>
      <c r="C232" s="86" t="s">
        <v>71</v>
      </c>
      <c r="D232" s="85" t="s">
        <v>72</v>
      </c>
      <c r="E232" s="102" t="s">
        <v>194</v>
      </c>
      <c r="F232" s="162">
        <v>3</v>
      </c>
      <c r="G232" s="85" t="s">
        <v>14</v>
      </c>
      <c r="H232" s="89">
        <f>SUMIFS($I$3:$I$289,$E$3:$E$289,$E232,$U$3:$U$289,"MARKUP",$S$3:$S$289,"REMOVAL")*0.01*Q232</f>
        <v>95046.000000000015</v>
      </c>
      <c r="I232" s="89">
        <f>F232*H232</f>
        <v>285138.00000000006</v>
      </c>
      <c r="J232" s="164" t="s">
        <v>88</v>
      </c>
      <c r="K232" s="85" t="s">
        <v>63</v>
      </c>
      <c r="L232" s="85" t="s">
        <v>63</v>
      </c>
      <c r="M232" s="85" t="str">
        <f t="shared" si="21"/>
        <v>SCS ENGINEERING</v>
      </c>
      <c r="N232" s="84">
        <f t="shared" si="17"/>
        <v>95046.000000000015</v>
      </c>
      <c r="O232" s="87">
        <f t="shared" si="18"/>
        <v>285138.00000000006</v>
      </c>
      <c r="P232" s="88" t="s">
        <v>65</v>
      </c>
      <c r="Q232" s="147">
        <f>1-0.0625</f>
        <v>0.9375</v>
      </c>
      <c r="R232" s="143" t="s">
        <v>203</v>
      </c>
      <c r="S232" s="96" t="s">
        <v>143</v>
      </c>
      <c r="T232" s="84" t="s">
        <v>66</v>
      </c>
      <c r="U232" s="84"/>
      <c r="V232" s="84" t="str">
        <f t="shared" si="19"/>
        <v>3080241CCLRSCHERER-ECO3%95046SCS ENGINEERING</v>
      </c>
    </row>
    <row r="233" spans="1:22" ht="15" customHeight="1" x14ac:dyDescent="0.25">
      <c r="A233" s="106">
        <v>3080241</v>
      </c>
      <c r="B233" s="86" t="s">
        <v>153</v>
      </c>
      <c r="C233" s="86" t="s">
        <v>71</v>
      </c>
      <c r="D233" s="85" t="s">
        <v>72</v>
      </c>
      <c r="E233" s="85" t="s">
        <v>193</v>
      </c>
      <c r="F233" s="162">
        <v>3</v>
      </c>
      <c r="G233" s="85" t="s">
        <v>14</v>
      </c>
      <c r="H233" s="170">
        <f>SUMIFS($I$3:$I$289,$E$3:$E$289,$E233,$U$3:$U$289,"MARKUP",$S$3:$S$289,"REMOVAL")*0.01*Q233</f>
        <v>328973.47500000009</v>
      </c>
      <c r="I233" s="89">
        <f>F233*H233</f>
        <v>986920.42500000028</v>
      </c>
      <c r="J233" s="164" t="s">
        <v>88</v>
      </c>
      <c r="K233" s="85" t="s">
        <v>63</v>
      </c>
      <c r="L233" s="85" t="s">
        <v>63</v>
      </c>
      <c r="M233" s="85" t="str">
        <f t="shared" si="21"/>
        <v>SCS ENGINEERING</v>
      </c>
      <c r="N233" s="84">
        <f t="shared" si="17"/>
        <v>328973.47500000009</v>
      </c>
      <c r="O233" s="87">
        <f t="shared" si="18"/>
        <v>986920.42500000028</v>
      </c>
      <c r="P233" s="88" t="s">
        <v>73</v>
      </c>
      <c r="Q233" s="147">
        <f>1-0.0625</f>
        <v>0.9375</v>
      </c>
      <c r="R233" s="143" t="s">
        <v>203</v>
      </c>
      <c r="S233" s="96" t="s">
        <v>143</v>
      </c>
      <c r="T233" s="84" t="s">
        <v>66</v>
      </c>
      <c r="U233" s="84"/>
      <c r="V233" s="84" t="str">
        <f t="shared" si="19"/>
        <v>3080241CCLRSCHERER-NON3%328973.475SCS ENGINEERING</v>
      </c>
    </row>
    <row r="234" spans="1:22" ht="15" customHeight="1" x14ac:dyDescent="0.25">
      <c r="A234" s="85" t="s">
        <v>83</v>
      </c>
      <c r="B234" s="86" t="s">
        <v>155</v>
      </c>
      <c r="C234" s="86" t="s">
        <v>71</v>
      </c>
      <c r="D234" s="85" t="s">
        <v>72</v>
      </c>
      <c r="E234" s="85" t="s">
        <v>193</v>
      </c>
      <c r="F234" s="87">
        <f>44*Q234</f>
        <v>41.25</v>
      </c>
      <c r="G234" s="85" t="s">
        <v>75</v>
      </c>
      <c r="H234" s="87">
        <v>50750.31</v>
      </c>
      <c r="I234" s="87">
        <f>F234*H234</f>
        <v>2093450.2874999999</v>
      </c>
      <c r="J234" s="85" t="s">
        <v>84</v>
      </c>
      <c r="K234" s="85" t="s">
        <v>63</v>
      </c>
      <c r="L234" s="85" t="s">
        <v>63</v>
      </c>
      <c r="M234" s="85" t="str">
        <f t="shared" si="21"/>
        <v>SECURITY SERVICES</v>
      </c>
      <c r="N234" s="84">
        <f t="shared" si="17"/>
        <v>50750.31</v>
      </c>
      <c r="O234" s="87">
        <f t="shared" si="18"/>
        <v>2093450.2874999999</v>
      </c>
      <c r="P234" s="88" t="s">
        <v>73</v>
      </c>
      <c r="Q234" s="147">
        <f>1-0.0625</f>
        <v>0.9375</v>
      </c>
      <c r="R234" s="143" t="s">
        <v>203</v>
      </c>
      <c r="S234" s="96" t="s">
        <v>143</v>
      </c>
      <c r="T234" s="84" t="s">
        <v>66</v>
      </c>
      <c r="U234" s="84"/>
      <c r="V234" s="84" t="str">
        <f t="shared" si="19"/>
        <v>3070221CCLRSCHERER-NON41.25MY50750.31SECURITY SERVICES</v>
      </c>
    </row>
    <row r="235" spans="1:22" ht="15" customHeight="1" x14ac:dyDescent="0.25">
      <c r="A235" s="100" t="s">
        <v>115</v>
      </c>
      <c r="B235" s="86" t="s">
        <v>158</v>
      </c>
      <c r="C235" s="101" t="s">
        <v>147</v>
      </c>
      <c r="D235" s="102" t="s">
        <v>67</v>
      </c>
      <c r="E235" s="102" t="s">
        <v>194</v>
      </c>
      <c r="F235" s="126">
        <f>'Scherer Data'!$D$44/4*Q235</f>
        <v>4.2000000000000003E-2</v>
      </c>
      <c r="G235" s="102" t="s">
        <v>42</v>
      </c>
      <c r="H235" s="103">
        <f>'Scherer Data'!$E$44</f>
        <v>550000</v>
      </c>
      <c r="I235" s="136">
        <f>'Scherer Data'!$F$44/4*Q235</f>
        <v>23100</v>
      </c>
      <c r="J235" s="102" t="s">
        <v>192</v>
      </c>
      <c r="K235" s="102"/>
      <c r="L235" s="102"/>
      <c r="M235" s="85" t="str">
        <f t="shared" si="21"/>
        <v>SO2 SCRUBBER - 2 (ea) Stacks</v>
      </c>
      <c r="N235" s="167">
        <f t="shared" si="17"/>
        <v>550000</v>
      </c>
      <c r="O235" s="103">
        <f t="shared" si="18"/>
        <v>23100</v>
      </c>
      <c r="P235" s="167" t="s">
        <v>65</v>
      </c>
      <c r="Q235" s="147">
        <v>8.4000000000000005E-2</v>
      </c>
      <c r="R235" s="143" t="s">
        <v>203</v>
      </c>
      <c r="S235" s="96" t="s">
        <v>143</v>
      </c>
      <c r="T235" s="167" t="s">
        <v>82</v>
      </c>
      <c r="U235" s="167" t="s">
        <v>99</v>
      </c>
      <c r="V235" s="84" t="str">
        <f t="shared" si="19"/>
        <v>312UND11LRSCHERER-ECO0.042ea550000SO2 SCRUBBER - 2 (ea) Stacks</v>
      </c>
    </row>
    <row r="236" spans="1:22" ht="15" customHeight="1" x14ac:dyDescent="0.25">
      <c r="A236" s="100" t="s">
        <v>115</v>
      </c>
      <c r="B236" s="86" t="s">
        <v>158</v>
      </c>
      <c r="C236" s="101" t="s">
        <v>148</v>
      </c>
      <c r="D236" s="102" t="s">
        <v>68</v>
      </c>
      <c r="E236" s="102" t="s">
        <v>194</v>
      </c>
      <c r="F236" s="126">
        <f>'Scherer Data'!$D$44/4*Q236</f>
        <v>4.2000000000000003E-2</v>
      </c>
      <c r="G236" s="102" t="s">
        <v>42</v>
      </c>
      <c r="H236" s="103">
        <f>'Scherer Data'!$E$44</f>
        <v>550000</v>
      </c>
      <c r="I236" s="136">
        <f>'Scherer Data'!$F$44/4*Q236</f>
        <v>23100</v>
      </c>
      <c r="J236" s="102" t="s">
        <v>192</v>
      </c>
      <c r="K236" s="102"/>
      <c r="L236" s="102"/>
      <c r="M236" s="85" t="str">
        <f t="shared" si="21"/>
        <v>SO2 SCRUBBER - 2 (ea) Stacks</v>
      </c>
      <c r="N236" s="167">
        <f t="shared" si="17"/>
        <v>550000</v>
      </c>
      <c r="O236" s="103">
        <f t="shared" si="18"/>
        <v>23100</v>
      </c>
      <c r="P236" s="167" t="s">
        <v>65</v>
      </c>
      <c r="Q236" s="147">
        <v>8.4000000000000005E-2</v>
      </c>
      <c r="R236" s="143" t="s">
        <v>203</v>
      </c>
      <c r="S236" s="96" t="s">
        <v>143</v>
      </c>
      <c r="T236" s="167" t="s">
        <v>82</v>
      </c>
      <c r="U236" s="167" t="s">
        <v>99</v>
      </c>
      <c r="V236" s="84" t="str">
        <f t="shared" si="19"/>
        <v>312UND22LRSCHERER-ECO0.042ea550000SO2 SCRUBBER - 2 (ea) Stacks</v>
      </c>
    </row>
    <row r="237" spans="1:22" ht="15" customHeight="1" x14ac:dyDescent="0.25">
      <c r="A237" s="100" t="s">
        <v>115</v>
      </c>
      <c r="B237" s="86" t="s">
        <v>158</v>
      </c>
      <c r="C237" s="101" t="s">
        <v>147</v>
      </c>
      <c r="D237" s="102" t="s">
        <v>67</v>
      </c>
      <c r="E237" s="102" t="s">
        <v>194</v>
      </c>
      <c r="F237" s="126">
        <f>'Scherer Data'!$D$44/4*Q237</f>
        <v>0.45800000000000002</v>
      </c>
      <c r="G237" s="102" t="s">
        <v>42</v>
      </c>
      <c r="H237" s="103">
        <f>'Scherer Data'!$E$44</f>
        <v>550000</v>
      </c>
      <c r="I237" s="136">
        <f>'Scherer Data'!$F$44/4*Q237</f>
        <v>251900</v>
      </c>
      <c r="J237" s="102" t="s">
        <v>192</v>
      </c>
      <c r="K237" s="102"/>
      <c r="L237" s="102"/>
      <c r="M237" s="85" t="str">
        <f t="shared" si="21"/>
        <v>SO2 SCRUBBER - 2 (ea) Stacks</v>
      </c>
      <c r="N237" s="167">
        <f t="shared" si="17"/>
        <v>550000</v>
      </c>
      <c r="O237" s="103">
        <f t="shared" si="18"/>
        <v>251900</v>
      </c>
      <c r="P237" s="167" t="s">
        <v>65</v>
      </c>
      <c r="Q237" s="147">
        <v>0.91600000000000004</v>
      </c>
      <c r="R237" s="143" t="s">
        <v>203</v>
      </c>
      <c r="S237" s="96" t="s">
        <v>143</v>
      </c>
      <c r="T237" s="167" t="s">
        <v>82</v>
      </c>
      <c r="U237" s="167" t="s">
        <v>99</v>
      </c>
      <c r="V237" s="84" t="str">
        <f t="shared" si="19"/>
        <v>312UND11LRSCHERER-ECO0.458ea550000SO2 SCRUBBER - 2 (ea) Stacks</v>
      </c>
    </row>
    <row r="238" spans="1:22" ht="15" customHeight="1" x14ac:dyDescent="0.25">
      <c r="A238" s="100" t="s">
        <v>115</v>
      </c>
      <c r="B238" s="86" t="s">
        <v>158</v>
      </c>
      <c r="C238" s="101" t="s">
        <v>148</v>
      </c>
      <c r="D238" s="102" t="s">
        <v>68</v>
      </c>
      <c r="E238" s="102" t="s">
        <v>194</v>
      </c>
      <c r="F238" s="126">
        <f>'Scherer Data'!$D$44/4*Q238</f>
        <v>0.45800000000000002</v>
      </c>
      <c r="G238" s="102" t="s">
        <v>42</v>
      </c>
      <c r="H238" s="103">
        <f>'Scherer Data'!$E$44</f>
        <v>550000</v>
      </c>
      <c r="I238" s="136">
        <f>'Scherer Data'!$F$44/4*Q238</f>
        <v>251900</v>
      </c>
      <c r="J238" s="102" t="s">
        <v>192</v>
      </c>
      <c r="K238" s="102"/>
      <c r="L238" s="102"/>
      <c r="M238" s="85" t="str">
        <f t="shared" si="21"/>
        <v>SO2 SCRUBBER - 2 (ea) Stacks</v>
      </c>
      <c r="N238" s="167">
        <f t="shared" si="17"/>
        <v>550000</v>
      </c>
      <c r="O238" s="103">
        <f t="shared" si="18"/>
        <v>251900</v>
      </c>
      <c r="P238" s="167" t="s">
        <v>65</v>
      </c>
      <c r="Q238" s="147">
        <v>0.91600000000000004</v>
      </c>
      <c r="R238" s="143" t="s">
        <v>203</v>
      </c>
      <c r="S238" s="96" t="s">
        <v>143</v>
      </c>
      <c r="T238" s="167" t="s">
        <v>82</v>
      </c>
      <c r="U238" s="167" t="s">
        <v>99</v>
      </c>
      <c r="V238" s="84" t="str">
        <f t="shared" si="19"/>
        <v>312UND22LRSCHERER-ECO0.458ea550000SO2 SCRUBBER - 2 (ea) Stacks</v>
      </c>
    </row>
    <row r="239" spans="1:22" ht="15" customHeight="1" x14ac:dyDescent="0.25">
      <c r="A239" s="100" t="s">
        <v>115</v>
      </c>
      <c r="B239" s="86" t="s">
        <v>158</v>
      </c>
      <c r="C239" s="101" t="s">
        <v>149</v>
      </c>
      <c r="D239" s="102" t="s">
        <v>69</v>
      </c>
      <c r="E239" s="102" t="s">
        <v>194</v>
      </c>
      <c r="F239" s="126">
        <f>'Scherer Data'!$D$44/4*Q239</f>
        <v>0.375</v>
      </c>
      <c r="G239" s="102" t="s">
        <v>42</v>
      </c>
      <c r="H239" s="103">
        <f>'Scherer Data'!$E$44</f>
        <v>550000</v>
      </c>
      <c r="I239" s="136">
        <f>'Scherer Data'!$F$44/4*Q239</f>
        <v>206250</v>
      </c>
      <c r="J239" s="102" t="s">
        <v>192</v>
      </c>
      <c r="K239" s="102"/>
      <c r="L239" s="102"/>
      <c r="M239" s="85" t="str">
        <f t="shared" si="21"/>
        <v>SO2 SCRUBBER - 2 (ea) Stacks</v>
      </c>
      <c r="N239" s="167">
        <f t="shared" si="17"/>
        <v>550000</v>
      </c>
      <c r="O239" s="103">
        <f t="shared" si="18"/>
        <v>206250</v>
      </c>
      <c r="P239" s="167" t="s">
        <v>65</v>
      </c>
      <c r="Q239" s="147">
        <v>0.75</v>
      </c>
      <c r="R239" s="143" t="s">
        <v>203</v>
      </c>
      <c r="S239" s="96" t="s">
        <v>143</v>
      </c>
      <c r="T239" s="167" t="s">
        <v>82</v>
      </c>
      <c r="U239" s="167" t="s">
        <v>99</v>
      </c>
      <c r="V239" s="84" t="str">
        <f t="shared" si="19"/>
        <v>312UND33LRSCHERER-ECO0.375ea550000SO2 SCRUBBER - 2 (ea) Stacks</v>
      </c>
    </row>
    <row r="240" spans="1:22" ht="15" customHeight="1" x14ac:dyDescent="0.25">
      <c r="A240" s="100" t="s">
        <v>115</v>
      </c>
      <c r="B240" s="86" t="s">
        <v>158</v>
      </c>
      <c r="C240" s="101" t="s">
        <v>150</v>
      </c>
      <c r="D240" s="102" t="s">
        <v>70</v>
      </c>
      <c r="E240" s="102" t="s">
        <v>194</v>
      </c>
      <c r="F240" s="126">
        <f>'Scherer Data'!$D$44/4*Q240</f>
        <v>0.5</v>
      </c>
      <c r="G240" s="102" t="s">
        <v>42</v>
      </c>
      <c r="H240" s="103">
        <f>'Scherer Data'!$E$44</f>
        <v>550000</v>
      </c>
      <c r="I240" s="136">
        <f>'Scherer Data'!$F$44/4*Q240</f>
        <v>275000</v>
      </c>
      <c r="J240" s="102" t="s">
        <v>192</v>
      </c>
      <c r="K240" s="102"/>
      <c r="L240" s="102"/>
      <c r="M240" s="85" t="str">
        <f t="shared" si="21"/>
        <v>SO2 SCRUBBER - 2 (ea) Stacks</v>
      </c>
      <c r="N240" s="167">
        <f t="shared" si="17"/>
        <v>550000</v>
      </c>
      <c r="O240" s="103">
        <f t="shared" si="18"/>
        <v>275000</v>
      </c>
      <c r="P240" s="167" t="s">
        <v>65</v>
      </c>
      <c r="Q240" s="147">
        <v>1</v>
      </c>
      <c r="R240" s="143" t="s">
        <v>203</v>
      </c>
      <c r="S240" s="96" t="s">
        <v>143</v>
      </c>
      <c r="T240" s="167" t="s">
        <v>82</v>
      </c>
      <c r="U240" s="167" t="s">
        <v>99</v>
      </c>
      <c r="V240" s="84" t="str">
        <f t="shared" si="19"/>
        <v>312UND44LRSCHERER-ECO0.5ea550000SO2 SCRUBBER - 2 (ea) Stacks</v>
      </c>
    </row>
    <row r="241" spans="1:22" ht="15" customHeight="1" x14ac:dyDescent="0.25">
      <c r="A241" s="100" t="s">
        <v>115</v>
      </c>
      <c r="B241" s="86" t="s">
        <v>158</v>
      </c>
      <c r="C241" s="101" t="s">
        <v>147</v>
      </c>
      <c r="D241" s="102" t="s">
        <v>67</v>
      </c>
      <c r="E241" s="102" t="s">
        <v>194</v>
      </c>
      <c r="F241" s="115">
        <f>'Scherer Data'!$D$42/4*Q241</f>
        <v>105.504</v>
      </c>
      <c r="G241" s="102" t="s">
        <v>33</v>
      </c>
      <c r="H241" s="103">
        <f>'Scherer Data'!$E$42</f>
        <v>275.50799999999998</v>
      </c>
      <c r="I241" s="136">
        <f>'Scherer Data'!$F$42/4*Q241</f>
        <v>27431.040000000001</v>
      </c>
      <c r="J241" s="102" t="s">
        <v>140</v>
      </c>
      <c r="K241" s="102"/>
      <c r="L241" s="102"/>
      <c r="M241" s="85" t="str">
        <f t="shared" si="21"/>
        <v>SO2 SCRUBBER - Demo FE</v>
      </c>
      <c r="N241" s="167">
        <f t="shared" si="17"/>
        <v>275.50799999999998</v>
      </c>
      <c r="O241" s="103">
        <f t="shared" si="18"/>
        <v>27431.040000000001</v>
      </c>
      <c r="P241" s="167" t="s">
        <v>65</v>
      </c>
      <c r="Q241" s="147">
        <v>8.4000000000000005E-2</v>
      </c>
      <c r="R241" s="143" t="s">
        <v>203</v>
      </c>
      <c r="S241" s="96" t="s">
        <v>143</v>
      </c>
      <c r="T241" s="167" t="s">
        <v>82</v>
      </c>
      <c r="U241" s="167" t="s">
        <v>99</v>
      </c>
      <c r="V241" s="84" t="str">
        <f t="shared" si="19"/>
        <v>312UND11LRSCHERER-ECO105.504nt275.508SO2 SCRUBBER - Demo FE</v>
      </c>
    </row>
    <row r="242" spans="1:22" ht="15" customHeight="1" x14ac:dyDescent="0.25">
      <c r="A242" s="100" t="s">
        <v>115</v>
      </c>
      <c r="B242" s="86" t="s">
        <v>158</v>
      </c>
      <c r="C242" s="101" t="s">
        <v>148</v>
      </c>
      <c r="D242" s="102" t="s">
        <v>68</v>
      </c>
      <c r="E242" s="102" t="s">
        <v>194</v>
      </c>
      <c r="F242" s="115">
        <f>'Scherer Data'!$D$42/4*Q242</f>
        <v>105.504</v>
      </c>
      <c r="G242" s="102" t="s">
        <v>33</v>
      </c>
      <c r="H242" s="103">
        <f>'Scherer Data'!$E$42</f>
        <v>275.50799999999998</v>
      </c>
      <c r="I242" s="136">
        <f>'Scherer Data'!$F$42/4*Q242</f>
        <v>27431.040000000001</v>
      </c>
      <c r="J242" s="102" t="s">
        <v>140</v>
      </c>
      <c r="K242" s="102"/>
      <c r="L242" s="102"/>
      <c r="M242" s="85" t="str">
        <f t="shared" si="21"/>
        <v>SO2 SCRUBBER - Demo FE</v>
      </c>
      <c r="N242" s="167">
        <f t="shared" si="17"/>
        <v>275.50799999999998</v>
      </c>
      <c r="O242" s="103">
        <f t="shared" si="18"/>
        <v>27431.040000000001</v>
      </c>
      <c r="P242" s="167" t="s">
        <v>65</v>
      </c>
      <c r="Q242" s="147">
        <v>8.4000000000000005E-2</v>
      </c>
      <c r="R242" s="143" t="s">
        <v>203</v>
      </c>
      <c r="S242" s="96" t="s">
        <v>143</v>
      </c>
      <c r="T242" s="167" t="s">
        <v>82</v>
      </c>
      <c r="U242" s="167" t="s">
        <v>99</v>
      </c>
      <c r="V242" s="84" t="str">
        <f t="shared" si="19"/>
        <v>312UND22LRSCHERER-ECO105.504nt275.508SO2 SCRUBBER - Demo FE</v>
      </c>
    </row>
    <row r="243" spans="1:22" ht="15" customHeight="1" x14ac:dyDescent="0.25">
      <c r="A243" s="100" t="s">
        <v>115</v>
      </c>
      <c r="B243" s="86" t="s">
        <v>158</v>
      </c>
      <c r="C243" s="101" t="s">
        <v>147</v>
      </c>
      <c r="D243" s="102" t="s">
        <v>67</v>
      </c>
      <c r="E243" s="102" t="s">
        <v>194</v>
      </c>
      <c r="F243" s="115">
        <f>'Scherer Data'!$D$42/4*Q243</f>
        <v>1150.4960000000001</v>
      </c>
      <c r="G243" s="102" t="s">
        <v>33</v>
      </c>
      <c r="H243" s="103">
        <f>'Scherer Data'!$E$42</f>
        <v>275.50799999999998</v>
      </c>
      <c r="I243" s="136">
        <f>'Scherer Data'!$F$42/4*Q243</f>
        <v>299128.96000000002</v>
      </c>
      <c r="J243" s="102" t="s">
        <v>140</v>
      </c>
      <c r="K243" s="102"/>
      <c r="L243" s="102"/>
      <c r="M243" s="85" t="str">
        <f t="shared" si="21"/>
        <v>SO2 SCRUBBER - Demo FE</v>
      </c>
      <c r="N243" s="167">
        <f t="shared" si="17"/>
        <v>275.50799999999998</v>
      </c>
      <c r="O243" s="103">
        <f t="shared" si="18"/>
        <v>299128.96000000002</v>
      </c>
      <c r="P243" s="167" t="s">
        <v>65</v>
      </c>
      <c r="Q243" s="147">
        <v>0.91600000000000004</v>
      </c>
      <c r="R243" s="143" t="s">
        <v>203</v>
      </c>
      <c r="S243" s="96" t="s">
        <v>143</v>
      </c>
      <c r="T243" s="167" t="s">
        <v>82</v>
      </c>
      <c r="U243" s="167" t="s">
        <v>99</v>
      </c>
      <c r="V243" s="84" t="str">
        <f t="shared" si="19"/>
        <v>312UND11LRSCHERER-ECO1150.496nt275.508SO2 SCRUBBER - Demo FE</v>
      </c>
    </row>
    <row r="244" spans="1:22" ht="15" customHeight="1" x14ac:dyDescent="0.25">
      <c r="A244" s="100" t="s">
        <v>115</v>
      </c>
      <c r="B244" s="86" t="s">
        <v>158</v>
      </c>
      <c r="C244" s="101" t="s">
        <v>148</v>
      </c>
      <c r="D244" s="102" t="s">
        <v>68</v>
      </c>
      <c r="E244" s="102" t="s">
        <v>194</v>
      </c>
      <c r="F244" s="115">
        <f>'Scherer Data'!$D$42/4*Q244</f>
        <v>1150.4960000000001</v>
      </c>
      <c r="G244" s="102" t="s">
        <v>33</v>
      </c>
      <c r="H244" s="103">
        <f>'Scherer Data'!$E$42</f>
        <v>275.50799999999998</v>
      </c>
      <c r="I244" s="136">
        <f>'Scherer Data'!$F$42/4*Q244</f>
        <v>299128.96000000002</v>
      </c>
      <c r="J244" s="102" t="s">
        <v>140</v>
      </c>
      <c r="K244" s="102"/>
      <c r="L244" s="102"/>
      <c r="M244" s="85" t="str">
        <f t="shared" si="21"/>
        <v>SO2 SCRUBBER - Demo FE</v>
      </c>
      <c r="N244" s="167">
        <f t="shared" si="17"/>
        <v>275.50799999999998</v>
      </c>
      <c r="O244" s="103">
        <f t="shared" si="18"/>
        <v>299128.96000000002</v>
      </c>
      <c r="P244" s="167" t="s">
        <v>65</v>
      </c>
      <c r="Q244" s="147">
        <v>0.91600000000000004</v>
      </c>
      <c r="R244" s="143" t="s">
        <v>203</v>
      </c>
      <c r="S244" s="96" t="s">
        <v>143</v>
      </c>
      <c r="T244" s="167" t="s">
        <v>82</v>
      </c>
      <c r="U244" s="167" t="s">
        <v>99</v>
      </c>
      <c r="V244" s="84" t="str">
        <f t="shared" si="19"/>
        <v>312UND22LRSCHERER-ECO1150.496nt275.508SO2 SCRUBBER - Demo FE</v>
      </c>
    </row>
    <row r="245" spans="1:22" ht="15" customHeight="1" x14ac:dyDescent="0.25">
      <c r="A245" s="100" t="s">
        <v>115</v>
      </c>
      <c r="B245" s="86" t="s">
        <v>158</v>
      </c>
      <c r="C245" s="101" t="s">
        <v>149</v>
      </c>
      <c r="D245" s="102" t="s">
        <v>69</v>
      </c>
      <c r="E245" s="102" t="s">
        <v>194</v>
      </c>
      <c r="F245" s="115">
        <f>'Scherer Data'!$D$42/4*Q245</f>
        <v>942</v>
      </c>
      <c r="G245" s="102" t="s">
        <v>33</v>
      </c>
      <c r="H245" s="103">
        <f>'Scherer Data'!$E$42</f>
        <v>275.50799999999998</v>
      </c>
      <c r="I245" s="136">
        <f>'Scherer Data'!$F$42/4*Q245</f>
        <v>244920</v>
      </c>
      <c r="J245" s="102" t="s">
        <v>140</v>
      </c>
      <c r="K245" s="102"/>
      <c r="L245" s="102"/>
      <c r="M245" s="85" t="str">
        <f t="shared" si="21"/>
        <v>SO2 SCRUBBER - Demo FE</v>
      </c>
      <c r="N245" s="167">
        <f t="shared" si="17"/>
        <v>275.50799999999998</v>
      </c>
      <c r="O245" s="103">
        <f t="shared" si="18"/>
        <v>244920</v>
      </c>
      <c r="P245" s="167" t="s">
        <v>65</v>
      </c>
      <c r="Q245" s="147">
        <v>0.75</v>
      </c>
      <c r="R245" s="143" t="s">
        <v>203</v>
      </c>
      <c r="S245" s="96" t="s">
        <v>143</v>
      </c>
      <c r="T245" s="167" t="s">
        <v>82</v>
      </c>
      <c r="U245" s="167" t="s">
        <v>99</v>
      </c>
      <c r="V245" s="84" t="str">
        <f t="shared" si="19"/>
        <v>312UND33LRSCHERER-ECO942nt275.508SO2 SCRUBBER - Demo FE</v>
      </c>
    </row>
    <row r="246" spans="1:22" ht="15" customHeight="1" x14ac:dyDescent="0.25">
      <c r="A246" s="100" t="s">
        <v>115</v>
      </c>
      <c r="B246" s="86" t="s">
        <v>158</v>
      </c>
      <c r="C246" s="101" t="s">
        <v>150</v>
      </c>
      <c r="D246" s="102" t="s">
        <v>70</v>
      </c>
      <c r="E246" s="102" t="s">
        <v>194</v>
      </c>
      <c r="F246" s="115">
        <f>'Scherer Data'!$D$42/4*Q246</f>
        <v>1256</v>
      </c>
      <c r="G246" s="102" t="s">
        <v>33</v>
      </c>
      <c r="H246" s="103">
        <f>'Scherer Data'!$E$42</f>
        <v>275.50799999999998</v>
      </c>
      <c r="I246" s="136">
        <f>'Scherer Data'!$F$42/4*Q246</f>
        <v>326560</v>
      </c>
      <c r="J246" s="102" t="s">
        <v>140</v>
      </c>
      <c r="K246" s="102"/>
      <c r="L246" s="102"/>
      <c r="M246" s="85" t="str">
        <f t="shared" si="21"/>
        <v>SO2 SCRUBBER - Demo FE</v>
      </c>
      <c r="N246" s="167">
        <f t="shared" si="17"/>
        <v>275.50799999999998</v>
      </c>
      <c r="O246" s="103">
        <f t="shared" si="18"/>
        <v>326560</v>
      </c>
      <c r="P246" s="167" t="s">
        <v>65</v>
      </c>
      <c r="Q246" s="147">
        <v>1</v>
      </c>
      <c r="R246" s="143" t="s">
        <v>203</v>
      </c>
      <c r="S246" s="96" t="s">
        <v>143</v>
      </c>
      <c r="T246" s="167" t="s">
        <v>82</v>
      </c>
      <c r="U246" s="167" t="s">
        <v>99</v>
      </c>
      <c r="V246" s="84" t="str">
        <f t="shared" si="19"/>
        <v>312UND44LRSCHERER-ECO1256nt275.508SO2 SCRUBBER - Demo FE</v>
      </c>
    </row>
    <row r="247" spans="1:22" ht="15" customHeight="1" x14ac:dyDescent="0.25">
      <c r="A247" s="100" t="s">
        <v>115</v>
      </c>
      <c r="B247" s="86" t="s">
        <v>158</v>
      </c>
      <c r="C247" s="101" t="s">
        <v>147</v>
      </c>
      <c r="D247" s="102" t="s">
        <v>112</v>
      </c>
      <c r="E247" s="102" t="s">
        <v>194</v>
      </c>
      <c r="F247" s="115">
        <f>'Scherer Data'!$D$43/4*Q247</f>
        <v>105.504</v>
      </c>
      <c r="G247" s="102" t="s">
        <v>33</v>
      </c>
      <c r="H247" s="103">
        <f>'Scherer Data'!$E$43</f>
        <v>-108.3695731319762</v>
      </c>
      <c r="I247" s="136">
        <f>'Scherer Data'!$F$43/4*Q247</f>
        <v>-11433.423443716018</v>
      </c>
      <c r="J247" s="102" t="s">
        <v>141</v>
      </c>
      <c r="K247" s="85" t="s">
        <v>110</v>
      </c>
      <c r="L247" s="102"/>
      <c r="M247" s="85" t="str">
        <f t="shared" si="21"/>
        <v>SO2 SCRUBBER - FE Sales</v>
      </c>
      <c r="N247" s="167">
        <f t="shared" si="17"/>
        <v>-108.3695731319762</v>
      </c>
      <c r="O247" s="103">
        <f t="shared" si="18"/>
        <v>-11433.423443716018</v>
      </c>
      <c r="P247" s="167" t="s">
        <v>65</v>
      </c>
      <c r="Q247" s="147">
        <v>8.4000000000000005E-2</v>
      </c>
      <c r="R247" s="143" t="s">
        <v>203</v>
      </c>
      <c r="S247" s="96" t="s">
        <v>145</v>
      </c>
      <c r="T247" s="167" t="s">
        <v>82</v>
      </c>
      <c r="U247" s="167" t="s">
        <v>99</v>
      </c>
      <c r="V247" s="84" t="str">
        <f t="shared" si="19"/>
        <v>312UND11MSSCHERER-ECO105.504nt-108.369573131976SO2 SCRUBBER - FE Sales</v>
      </c>
    </row>
    <row r="248" spans="1:22" ht="15" customHeight="1" x14ac:dyDescent="0.25">
      <c r="A248" s="100" t="s">
        <v>115</v>
      </c>
      <c r="B248" s="86" t="s">
        <v>158</v>
      </c>
      <c r="C248" s="101" t="s">
        <v>148</v>
      </c>
      <c r="D248" s="102" t="s">
        <v>114</v>
      </c>
      <c r="E248" s="102" t="s">
        <v>194</v>
      </c>
      <c r="F248" s="115">
        <f>'Scherer Data'!$D$43/4*Q248</f>
        <v>105.504</v>
      </c>
      <c r="G248" s="102" t="s">
        <v>33</v>
      </c>
      <c r="H248" s="103">
        <f>'Scherer Data'!$E$43</f>
        <v>-108.3695731319762</v>
      </c>
      <c r="I248" s="136">
        <f>'Scherer Data'!$F$43/4*Q248</f>
        <v>-11433.423443716018</v>
      </c>
      <c r="J248" s="102" t="s">
        <v>141</v>
      </c>
      <c r="K248" s="85" t="s">
        <v>110</v>
      </c>
      <c r="L248" s="102"/>
      <c r="M248" s="85" t="str">
        <f t="shared" si="21"/>
        <v>SO2 SCRUBBER - FE Sales</v>
      </c>
      <c r="N248" s="167">
        <f t="shared" si="17"/>
        <v>-108.3695731319762</v>
      </c>
      <c r="O248" s="103">
        <f t="shared" si="18"/>
        <v>-11433.423443716018</v>
      </c>
      <c r="P248" s="167" t="s">
        <v>65</v>
      </c>
      <c r="Q248" s="147">
        <v>8.4000000000000005E-2</v>
      </c>
      <c r="R248" s="143" t="s">
        <v>203</v>
      </c>
      <c r="S248" s="96" t="s">
        <v>145</v>
      </c>
      <c r="T248" s="167" t="s">
        <v>82</v>
      </c>
      <c r="U248" s="167" t="s">
        <v>99</v>
      </c>
      <c r="V248" s="84" t="str">
        <f t="shared" si="19"/>
        <v>312UND22MSSCHERER-ECO105.504nt-108.369573131976SO2 SCRUBBER - FE Sales</v>
      </c>
    </row>
    <row r="249" spans="1:22" ht="15" customHeight="1" x14ac:dyDescent="0.25">
      <c r="A249" s="100" t="s">
        <v>115</v>
      </c>
      <c r="B249" s="86" t="s">
        <v>158</v>
      </c>
      <c r="C249" s="101" t="s">
        <v>147</v>
      </c>
      <c r="D249" s="102" t="s">
        <v>112</v>
      </c>
      <c r="E249" s="102" t="s">
        <v>194</v>
      </c>
      <c r="F249" s="115">
        <f>'Scherer Data'!$D$43/4*Q249</f>
        <v>1150.4960000000001</v>
      </c>
      <c r="G249" s="102" t="s">
        <v>33</v>
      </c>
      <c r="H249" s="103">
        <f>'Scherer Data'!$E$43</f>
        <v>-108.3695731319762</v>
      </c>
      <c r="I249" s="136">
        <f>'Scherer Data'!$F$43/4*Q249</f>
        <v>-124678.7604100461</v>
      </c>
      <c r="J249" s="102" t="s">
        <v>141</v>
      </c>
      <c r="K249" s="85" t="s">
        <v>110</v>
      </c>
      <c r="L249" s="102"/>
      <c r="M249" s="85" t="str">
        <f t="shared" si="21"/>
        <v>SO2 SCRUBBER - FE Sales</v>
      </c>
      <c r="N249" s="167">
        <f t="shared" si="17"/>
        <v>-108.3695731319762</v>
      </c>
      <c r="O249" s="103">
        <f t="shared" si="18"/>
        <v>-124678.7604100461</v>
      </c>
      <c r="P249" s="167" t="s">
        <v>65</v>
      </c>
      <c r="Q249" s="147">
        <v>0.91600000000000004</v>
      </c>
      <c r="R249" s="143" t="s">
        <v>203</v>
      </c>
      <c r="S249" s="96" t="s">
        <v>145</v>
      </c>
      <c r="T249" s="167" t="s">
        <v>82</v>
      </c>
      <c r="U249" s="167" t="s">
        <v>99</v>
      </c>
      <c r="V249" s="84" t="str">
        <f t="shared" si="19"/>
        <v>312UND11MSSCHERER-ECO1150.496nt-108.369573131976SO2 SCRUBBER - FE Sales</v>
      </c>
    </row>
    <row r="250" spans="1:22" ht="15" customHeight="1" x14ac:dyDescent="0.25">
      <c r="A250" s="100" t="s">
        <v>115</v>
      </c>
      <c r="B250" s="86" t="s">
        <v>158</v>
      </c>
      <c r="C250" s="101" t="s">
        <v>148</v>
      </c>
      <c r="D250" s="102" t="s">
        <v>114</v>
      </c>
      <c r="E250" s="102" t="s">
        <v>194</v>
      </c>
      <c r="F250" s="115">
        <f>'Scherer Data'!$D$43/4*Q250</f>
        <v>1150.4960000000001</v>
      </c>
      <c r="G250" s="102" t="s">
        <v>33</v>
      </c>
      <c r="H250" s="103">
        <f>'Scherer Data'!$E$43</f>
        <v>-108.3695731319762</v>
      </c>
      <c r="I250" s="136">
        <f>'Scherer Data'!$F$43/4*Q250</f>
        <v>-124678.7604100461</v>
      </c>
      <c r="J250" s="102" t="s">
        <v>141</v>
      </c>
      <c r="K250" s="85" t="s">
        <v>110</v>
      </c>
      <c r="L250" s="102"/>
      <c r="M250" s="85" t="str">
        <f t="shared" si="21"/>
        <v>SO2 SCRUBBER - FE Sales</v>
      </c>
      <c r="N250" s="167">
        <f t="shared" si="17"/>
        <v>-108.3695731319762</v>
      </c>
      <c r="O250" s="103">
        <f t="shared" si="18"/>
        <v>-124678.7604100461</v>
      </c>
      <c r="P250" s="167" t="s">
        <v>65</v>
      </c>
      <c r="Q250" s="147">
        <v>0.91600000000000004</v>
      </c>
      <c r="R250" s="143" t="s">
        <v>203</v>
      </c>
      <c r="S250" s="96" t="s">
        <v>145</v>
      </c>
      <c r="T250" s="167" t="s">
        <v>82</v>
      </c>
      <c r="U250" s="167" t="s">
        <v>99</v>
      </c>
      <c r="V250" s="84" t="str">
        <f t="shared" si="19"/>
        <v>312UND22MSSCHERER-ECO1150.496nt-108.369573131976SO2 SCRUBBER - FE Sales</v>
      </c>
    </row>
    <row r="251" spans="1:22" ht="15" customHeight="1" x14ac:dyDescent="0.25">
      <c r="A251" s="100" t="s">
        <v>115</v>
      </c>
      <c r="B251" s="86" t="s">
        <v>158</v>
      </c>
      <c r="C251" s="101" t="s">
        <v>149</v>
      </c>
      <c r="D251" s="102" t="s">
        <v>133</v>
      </c>
      <c r="E251" s="102" t="s">
        <v>194</v>
      </c>
      <c r="F251" s="115">
        <f>'Scherer Data'!$D$43/4*Q251</f>
        <v>942</v>
      </c>
      <c r="G251" s="102" t="s">
        <v>33</v>
      </c>
      <c r="H251" s="103">
        <f>'Scherer Data'!$E$43</f>
        <v>-108.3695731319762</v>
      </c>
      <c r="I251" s="136">
        <f>'Scherer Data'!$F$43/4*Q251</f>
        <v>-102084.13789032158</v>
      </c>
      <c r="J251" s="102" t="s">
        <v>141</v>
      </c>
      <c r="K251" s="85" t="s">
        <v>110</v>
      </c>
      <c r="L251" s="102"/>
      <c r="M251" s="85" t="str">
        <f t="shared" si="21"/>
        <v>SO2 SCRUBBER - FE Sales</v>
      </c>
      <c r="N251" s="167">
        <f t="shared" si="17"/>
        <v>-108.3695731319762</v>
      </c>
      <c r="O251" s="103">
        <f t="shared" si="18"/>
        <v>-102084.13789032158</v>
      </c>
      <c r="P251" s="167" t="s">
        <v>65</v>
      </c>
      <c r="Q251" s="147">
        <v>0.75</v>
      </c>
      <c r="R251" s="143" t="s">
        <v>203</v>
      </c>
      <c r="S251" s="96" t="s">
        <v>145</v>
      </c>
      <c r="T251" s="167" t="s">
        <v>82</v>
      </c>
      <c r="U251" s="167" t="s">
        <v>99</v>
      </c>
      <c r="V251" s="84" t="str">
        <f t="shared" si="19"/>
        <v>312UND33MSSCHERER-ECO942nt-108.369573131976SO2 SCRUBBER - FE Sales</v>
      </c>
    </row>
    <row r="252" spans="1:22" ht="15" customHeight="1" x14ac:dyDescent="0.25">
      <c r="A252" s="100" t="s">
        <v>115</v>
      </c>
      <c r="B252" s="86" t="s">
        <v>158</v>
      </c>
      <c r="C252" s="101" t="s">
        <v>150</v>
      </c>
      <c r="D252" s="102" t="s">
        <v>134</v>
      </c>
      <c r="E252" s="102" t="s">
        <v>194</v>
      </c>
      <c r="F252" s="115">
        <f>'Scherer Data'!$D$43/4*Q252</f>
        <v>1256</v>
      </c>
      <c r="G252" s="102" t="s">
        <v>33</v>
      </c>
      <c r="H252" s="103">
        <f>'Scherer Data'!$E$43</f>
        <v>-108.3695731319762</v>
      </c>
      <c r="I252" s="136">
        <f>'Scherer Data'!$F$43/4*Q252</f>
        <v>-136112.18385376211</v>
      </c>
      <c r="J252" s="102" t="s">
        <v>141</v>
      </c>
      <c r="K252" s="85" t="s">
        <v>110</v>
      </c>
      <c r="L252" s="102"/>
      <c r="M252" s="85" t="str">
        <f t="shared" si="21"/>
        <v>SO2 SCRUBBER - FE Sales</v>
      </c>
      <c r="N252" s="167">
        <f t="shared" si="17"/>
        <v>-108.3695731319762</v>
      </c>
      <c r="O252" s="103">
        <f t="shared" si="18"/>
        <v>-136112.18385376211</v>
      </c>
      <c r="P252" s="167" t="s">
        <v>65</v>
      </c>
      <c r="Q252" s="147">
        <v>1</v>
      </c>
      <c r="R252" s="143" t="s">
        <v>203</v>
      </c>
      <c r="S252" s="96" t="s">
        <v>145</v>
      </c>
      <c r="T252" s="167" t="s">
        <v>82</v>
      </c>
      <c r="U252" s="167" t="s">
        <v>99</v>
      </c>
      <c r="V252" s="84" t="str">
        <f t="shared" si="19"/>
        <v>312UND44MSSCHERER-ECO1256nt-108.369573131976SO2 SCRUBBER - FE Sales</v>
      </c>
    </row>
    <row r="253" spans="1:22" ht="15" customHeight="1" x14ac:dyDescent="0.25">
      <c r="A253" s="85" t="s">
        <v>89</v>
      </c>
      <c r="B253" s="86" t="s">
        <v>153</v>
      </c>
      <c r="C253" s="86" t="s">
        <v>71</v>
      </c>
      <c r="D253" s="85" t="s">
        <v>72</v>
      </c>
      <c r="E253" s="85" t="s">
        <v>193</v>
      </c>
      <c r="F253" s="87">
        <f>1*Q253</f>
        <v>0.9375</v>
      </c>
      <c r="G253" s="85" t="s">
        <v>21</v>
      </c>
      <c r="H253" s="90">
        <f>'Scherer Data'!$E$7</f>
        <v>50000</v>
      </c>
      <c r="I253" s="116">
        <f>'Scherer Data'!$F$7*Q253</f>
        <v>46875</v>
      </c>
      <c r="J253" s="85" t="s">
        <v>23</v>
      </c>
      <c r="K253" s="85" t="s">
        <v>63</v>
      </c>
      <c r="L253" s="85" t="s">
        <v>63</v>
      </c>
      <c r="M253" s="85" t="str">
        <f t="shared" si="21"/>
        <v>Storm Water Prevention Plan</v>
      </c>
      <c r="N253" s="84">
        <f t="shared" si="17"/>
        <v>50000</v>
      </c>
      <c r="O253" s="87">
        <f t="shared" si="18"/>
        <v>46875</v>
      </c>
      <c r="P253" s="88" t="s">
        <v>73</v>
      </c>
      <c r="Q253" s="147">
        <f>1-0.0625</f>
        <v>0.9375</v>
      </c>
      <c r="R253" s="143" t="s">
        <v>203</v>
      </c>
      <c r="S253" s="96" t="s">
        <v>143</v>
      </c>
      <c r="T253" s="84" t="s">
        <v>82</v>
      </c>
      <c r="U253" s="84"/>
      <c r="V253" s="84" t="str">
        <f t="shared" si="19"/>
        <v>3080241SWCCLRSCHERER-NON0.9375ls50000Storm Water Prevention Plan</v>
      </c>
    </row>
    <row r="254" spans="1:22" ht="15" customHeight="1" x14ac:dyDescent="0.25">
      <c r="A254" s="85" t="s">
        <v>77</v>
      </c>
      <c r="B254" s="86" t="s">
        <v>155</v>
      </c>
      <c r="C254" s="86" t="s">
        <v>71</v>
      </c>
      <c r="D254" s="85" t="s">
        <v>72</v>
      </c>
      <c r="E254" s="102" t="s">
        <v>194</v>
      </c>
      <c r="F254" s="87">
        <v>2</v>
      </c>
      <c r="G254" s="85" t="s">
        <v>14</v>
      </c>
      <c r="H254" s="104">
        <f>SUMIFS($I$3:$I$289,$E$3:$E$289,$E254,$U$3:$U$289,"MARKUP",$S$3:$S$289,"REMOVAL")*0.01*Q254</f>
        <v>95046.000000000015</v>
      </c>
      <c r="I254" s="89">
        <f>F254*H254</f>
        <v>190092.00000000003</v>
      </c>
      <c r="J254" s="105" t="s">
        <v>78</v>
      </c>
      <c r="K254" s="85" t="s">
        <v>63</v>
      </c>
      <c r="L254" s="85" t="s">
        <v>63</v>
      </c>
      <c r="M254" s="85" t="s">
        <v>195</v>
      </c>
      <c r="N254" s="84">
        <f t="shared" si="17"/>
        <v>95046.000000000015</v>
      </c>
      <c r="O254" s="87">
        <f t="shared" si="18"/>
        <v>190092.00000000003</v>
      </c>
      <c r="P254" s="88" t="s">
        <v>65</v>
      </c>
      <c r="Q254" s="147">
        <f>1-0.0625</f>
        <v>0.9375</v>
      </c>
      <c r="R254" s="143" t="s">
        <v>203</v>
      </c>
      <c r="S254" s="96" t="s">
        <v>143</v>
      </c>
      <c r="T254" s="84" t="s">
        <v>66</v>
      </c>
      <c r="U254" s="84"/>
      <c r="V254" s="84" t="str">
        <f t="shared" si="19"/>
        <v>3070201CCLRSCHERER-ECO2%95046TEMPORARY CONSTRUCTION SERVICES</v>
      </c>
    </row>
    <row r="255" spans="1:22" ht="15" customHeight="1" x14ac:dyDescent="0.25">
      <c r="A255" s="85" t="s">
        <v>77</v>
      </c>
      <c r="B255" s="86" t="s">
        <v>155</v>
      </c>
      <c r="C255" s="86" t="s">
        <v>71</v>
      </c>
      <c r="D255" s="85" t="s">
        <v>72</v>
      </c>
      <c r="E255" s="85" t="s">
        <v>193</v>
      </c>
      <c r="F255" s="87">
        <v>2</v>
      </c>
      <c r="G255" s="85" t="s">
        <v>14</v>
      </c>
      <c r="H255" s="104">
        <f>SUMIFS($I$3:$I$289,$E$3:$E$289,$E255,$U$3:$U$289,"MARKUP",$S$3:$S$289,"REMOVAL")*0.01*Q255</f>
        <v>328973.47500000009</v>
      </c>
      <c r="I255" s="89">
        <f>F255*H255</f>
        <v>657946.95000000019</v>
      </c>
      <c r="J255" s="105" t="s">
        <v>78</v>
      </c>
      <c r="K255" s="85" t="s">
        <v>63</v>
      </c>
      <c r="L255" s="85" t="s">
        <v>63</v>
      </c>
      <c r="M255" s="85" t="s">
        <v>195</v>
      </c>
      <c r="N255" s="84">
        <f t="shared" si="17"/>
        <v>328973.47500000009</v>
      </c>
      <c r="O255" s="87">
        <f t="shared" si="18"/>
        <v>657946.95000000019</v>
      </c>
      <c r="P255" s="88" t="s">
        <v>73</v>
      </c>
      <c r="Q255" s="147">
        <f>1-0.0625</f>
        <v>0.9375</v>
      </c>
      <c r="R255" s="143" t="s">
        <v>203</v>
      </c>
      <c r="S255" s="96" t="s">
        <v>143</v>
      </c>
      <c r="T255" s="84" t="s">
        <v>66</v>
      </c>
      <c r="U255" s="84"/>
      <c r="V255" s="84" t="str">
        <f t="shared" si="19"/>
        <v>3070201CCLRSCHERER-NON2%328973.475TEMPORARY CONSTRUCTION SERVICES</v>
      </c>
    </row>
    <row r="256" spans="1:22" ht="15" customHeight="1" x14ac:dyDescent="0.25">
      <c r="A256" s="85" t="s">
        <v>106</v>
      </c>
      <c r="B256" s="86" t="s">
        <v>152</v>
      </c>
      <c r="C256" s="101" t="s">
        <v>147</v>
      </c>
      <c r="D256" s="85" t="s">
        <v>102</v>
      </c>
      <c r="E256" s="85" t="s">
        <v>193</v>
      </c>
      <c r="F256" s="92">
        <f>'Scherer Data'!$D$25/4*Q256</f>
        <v>43.961400000000005</v>
      </c>
      <c r="G256" s="85" t="s">
        <v>33</v>
      </c>
      <c r="H256" s="91">
        <f>'Scherer Data'!$E$25</f>
        <v>66.325999999999993</v>
      </c>
      <c r="I256" s="135">
        <f>'Scherer Data'!$F$25/4*Q256</f>
        <v>2857.491</v>
      </c>
      <c r="J256" s="85" t="s">
        <v>41</v>
      </c>
      <c r="K256" s="85" t="s">
        <v>63</v>
      </c>
      <c r="L256" s="85" t="s">
        <v>63</v>
      </c>
      <c r="M256" s="85" t="str">
        <f t="shared" ref="M256:M289" si="22">J256</f>
        <v>Transport &amp;  Dispose of Combustibles</v>
      </c>
      <c r="N256" s="84">
        <f t="shared" si="17"/>
        <v>66.325999999999993</v>
      </c>
      <c r="O256" s="87">
        <f t="shared" si="18"/>
        <v>2857.491</v>
      </c>
      <c r="P256" s="88" t="s">
        <v>73</v>
      </c>
      <c r="Q256" s="147">
        <v>8.4000000000000005E-2</v>
      </c>
      <c r="R256" s="143" t="s">
        <v>203</v>
      </c>
      <c r="S256" s="96" t="s">
        <v>146</v>
      </c>
      <c r="T256" s="84" t="s">
        <v>82</v>
      </c>
      <c r="U256" s="84" t="s">
        <v>99</v>
      </c>
      <c r="V256" s="84" t="str">
        <f t="shared" si="19"/>
        <v>311UND11LDSCHERER-NON43.9614nt66.326Transport &amp;  Dispose of Combustibles</v>
      </c>
    </row>
    <row r="257" spans="1:22" ht="15" customHeight="1" x14ac:dyDescent="0.25">
      <c r="A257" s="85" t="s">
        <v>106</v>
      </c>
      <c r="B257" s="86" t="s">
        <v>152</v>
      </c>
      <c r="C257" s="101" t="s">
        <v>148</v>
      </c>
      <c r="D257" s="85" t="s">
        <v>104</v>
      </c>
      <c r="E257" s="85" t="s">
        <v>193</v>
      </c>
      <c r="F257" s="92">
        <f>'Scherer Data'!$D$25/4*Q257</f>
        <v>43.961400000000005</v>
      </c>
      <c r="G257" s="85" t="s">
        <v>33</v>
      </c>
      <c r="H257" s="91">
        <f>'Scherer Data'!$E$25</f>
        <v>66.325999999999993</v>
      </c>
      <c r="I257" s="135">
        <f>'Scherer Data'!$F$25/4*Q257</f>
        <v>2857.491</v>
      </c>
      <c r="J257" s="85" t="s">
        <v>41</v>
      </c>
      <c r="K257" s="85" t="s">
        <v>63</v>
      </c>
      <c r="L257" s="85" t="s">
        <v>63</v>
      </c>
      <c r="M257" s="85" t="str">
        <f t="shared" si="22"/>
        <v>Transport &amp;  Dispose of Combustibles</v>
      </c>
      <c r="N257" s="84">
        <f t="shared" si="17"/>
        <v>66.325999999999993</v>
      </c>
      <c r="O257" s="87">
        <f t="shared" si="18"/>
        <v>2857.491</v>
      </c>
      <c r="P257" s="88" t="s">
        <v>73</v>
      </c>
      <c r="Q257" s="147">
        <v>8.4000000000000005E-2</v>
      </c>
      <c r="R257" s="143" t="s">
        <v>203</v>
      </c>
      <c r="S257" s="96" t="s">
        <v>146</v>
      </c>
      <c r="T257" s="84" t="s">
        <v>82</v>
      </c>
      <c r="U257" s="84" t="s">
        <v>99</v>
      </c>
      <c r="V257" s="84" t="str">
        <f t="shared" si="19"/>
        <v>311UND22LDSCHERER-NON43.9614nt66.326Transport &amp;  Dispose of Combustibles</v>
      </c>
    </row>
    <row r="258" spans="1:22" ht="15" customHeight="1" x14ac:dyDescent="0.25">
      <c r="A258" s="85" t="s">
        <v>132</v>
      </c>
      <c r="B258" s="86" t="s">
        <v>157</v>
      </c>
      <c r="C258" s="86" t="s">
        <v>71</v>
      </c>
      <c r="D258" s="85" t="s">
        <v>105</v>
      </c>
      <c r="E258" s="85" t="s">
        <v>193</v>
      </c>
      <c r="F258" s="92">
        <f>'Scherer Data'!$D$53*Q258</f>
        <v>328.125</v>
      </c>
      <c r="G258" s="85" t="s">
        <v>33</v>
      </c>
      <c r="H258" s="91">
        <f>'Scherer Data'!$E$53</f>
        <v>66.325999999999993</v>
      </c>
      <c r="I258" s="135">
        <f>'Scherer Data'!$F$53*Q258</f>
        <v>21328.125</v>
      </c>
      <c r="J258" s="85" t="s">
        <v>41</v>
      </c>
      <c r="K258" s="85" t="s">
        <v>63</v>
      </c>
      <c r="L258" s="85" t="s">
        <v>63</v>
      </c>
      <c r="M258" s="85" t="str">
        <f t="shared" si="22"/>
        <v>Transport &amp;  Dispose of Combustibles</v>
      </c>
      <c r="N258" s="84">
        <f t="shared" si="17"/>
        <v>66.325999999999993</v>
      </c>
      <c r="O258" s="87">
        <f t="shared" si="18"/>
        <v>21328.125</v>
      </c>
      <c r="P258" s="88" t="s">
        <v>73</v>
      </c>
      <c r="Q258" s="147">
        <f>1-0.0625</f>
        <v>0.9375</v>
      </c>
      <c r="R258" s="143" t="s">
        <v>203</v>
      </c>
      <c r="S258" s="96" t="s">
        <v>146</v>
      </c>
      <c r="T258" s="84" t="s">
        <v>82</v>
      </c>
      <c r="U258" s="84" t="s">
        <v>99</v>
      </c>
      <c r="V258" s="84" t="str">
        <f t="shared" si="19"/>
        <v>341UNDCCLDSCHERER-NON328.125nt66.326Transport &amp;  Dispose of Combustibles</v>
      </c>
    </row>
    <row r="259" spans="1:22" ht="15" customHeight="1" x14ac:dyDescent="0.25">
      <c r="A259" s="85" t="s">
        <v>106</v>
      </c>
      <c r="B259" s="86" t="s">
        <v>152</v>
      </c>
      <c r="C259" s="101" t="s">
        <v>147</v>
      </c>
      <c r="D259" s="85" t="s">
        <v>102</v>
      </c>
      <c r="E259" s="85" t="s">
        <v>193</v>
      </c>
      <c r="F259" s="92">
        <f>'Scherer Data'!$D$25/4*Q259</f>
        <v>479.38860000000005</v>
      </c>
      <c r="G259" s="85" t="s">
        <v>33</v>
      </c>
      <c r="H259" s="91">
        <f>'Scherer Data'!$E$25</f>
        <v>66.325999999999993</v>
      </c>
      <c r="I259" s="135">
        <f>'Scherer Data'!$F$25/4*Q259</f>
        <v>31160.259000000002</v>
      </c>
      <c r="J259" s="85" t="s">
        <v>41</v>
      </c>
      <c r="K259" s="85" t="s">
        <v>63</v>
      </c>
      <c r="L259" s="85" t="s">
        <v>63</v>
      </c>
      <c r="M259" s="85" t="str">
        <f t="shared" si="22"/>
        <v>Transport &amp;  Dispose of Combustibles</v>
      </c>
      <c r="N259" s="84">
        <f t="shared" si="17"/>
        <v>66.325999999999993</v>
      </c>
      <c r="O259" s="87">
        <f t="shared" si="18"/>
        <v>31160.259000000002</v>
      </c>
      <c r="P259" s="88" t="s">
        <v>73</v>
      </c>
      <c r="Q259" s="147">
        <v>0.91600000000000004</v>
      </c>
      <c r="R259" s="143" t="s">
        <v>203</v>
      </c>
      <c r="S259" s="96" t="s">
        <v>146</v>
      </c>
      <c r="T259" s="84" t="s">
        <v>82</v>
      </c>
      <c r="U259" s="84" t="s">
        <v>99</v>
      </c>
      <c r="V259" s="84" t="str">
        <f t="shared" si="19"/>
        <v>311UND11LDSCHERER-NON479.3886nt66.326Transport &amp;  Dispose of Combustibles</v>
      </c>
    </row>
    <row r="260" spans="1:22" ht="15" customHeight="1" x14ac:dyDescent="0.25">
      <c r="A260" s="85" t="s">
        <v>106</v>
      </c>
      <c r="B260" s="86" t="s">
        <v>152</v>
      </c>
      <c r="C260" s="101" t="s">
        <v>148</v>
      </c>
      <c r="D260" s="85" t="s">
        <v>104</v>
      </c>
      <c r="E260" s="85" t="s">
        <v>193</v>
      </c>
      <c r="F260" s="92">
        <f>'Scherer Data'!$D$25/4*Q260</f>
        <v>479.38860000000005</v>
      </c>
      <c r="G260" s="85" t="s">
        <v>33</v>
      </c>
      <c r="H260" s="91">
        <f>'Scherer Data'!$E$25</f>
        <v>66.325999999999993</v>
      </c>
      <c r="I260" s="135">
        <f>'Scherer Data'!$F$25/4*Q260</f>
        <v>31160.259000000002</v>
      </c>
      <c r="J260" s="85" t="s">
        <v>41</v>
      </c>
      <c r="K260" s="85" t="s">
        <v>63</v>
      </c>
      <c r="L260" s="85" t="s">
        <v>63</v>
      </c>
      <c r="M260" s="85" t="str">
        <f t="shared" si="22"/>
        <v>Transport &amp;  Dispose of Combustibles</v>
      </c>
      <c r="N260" s="84">
        <f t="shared" si="17"/>
        <v>66.325999999999993</v>
      </c>
      <c r="O260" s="87">
        <f t="shared" si="18"/>
        <v>31160.259000000002</v>
      </c>
      <c r="P260" s="88" t="s">
        <v>73</v>
      </c>
      <c r="Q260" s="147">
        <v>0.91600000000000004</v>
      </c>
      <c r="R260" s="143" t="s">
        <v>203</v>
      </c>
      <c r="S260" s="96" t="s">
        <v>146</v>
      </c>
      <c r="T260" s="84" t="s">
        <v>82</v>
      </c>
      <c r="U260" s="84" t="s">
        <v>99</v>
      </c>
      <c r="V260" s="84" t="str">
        <f t="shared" si="19"/>
        <v>311UND22LDSCHERER-NON479.3886nt66.326Transport &amp;  Dispose of Combustibles</v>
      </c>
    </row>
    <row r="261" spans="1:22" ht="15" customHeight="1" x14ac:dyDescent="0.25">
      <c r="A261" s="85" t="s">
        <v>106</v>
      </c>
      <c r="B261" s="86" t="s">
        <v>152</v>
      </c>
      <c r="C261" s="101" t="s">
        <v>149</v>
      </c>
      <c r="D261" s="85" t="s">
        <v>135</v>
      </c>
      <c r="E261" s="85" t="s">
        <v>193</v>
      </c>
      <c r="F261" s="92">
        <f>'Scherer Data'!$D$25/4*Q261</f>
        <v>392.51250000000005</v>
      </c>
      <c r="G261" s="85" t="s">
        <v>33</v>
      </c>
      <c r="H261" s="91">
        <f>'Scherer Data'!$E$25</f>
        <v>66.325999999999993</v>
      </c>
      <c r="I261" s="135">
        <f>'Scherer Data'!$F$25/4*Q261</f>
        <v>25513.3125</v>
      </c>
      <c r="J261" s="85" t="s">
        <v>41</v>
      </c>
      <c r="K261" s="85" t="s">
        <v>63</v>
      </c>
      <c r="L261" s="85" t="s">
        <v>63</v>
      </c>
      <c r="M261" s="85" t="str">
        <f t="shared" si="22"/>
        <v>Transport &amp;  Dispose of Combustibles</v>
      </c>
      <c r="N261" s="84">
        <f t="shared" ref="N261:N289" si="23">H261</f>
        <v>66.325999999999993</v>
      </c>
      <c r="O261" s="87">
        <f t="shared" ref="O261:O289" si="24">I261</f>
        <v>25513.3125</v>
      </c>
      <c r="P261" s="88" t="s">
        <v>73</v>
      </c>
      <c r="Q261" s="147">
        <v>0.75</v>
      </c>
      <c r="R261" s="143" t="s">
        <v>203</v>
      </c>
      <c r="S261" s="96" t="s">
        <v>146</v>
      </c>
      <c r="T261" s="84" t="s">
        <v>82</v>
      </c>
      <c r="U261" s="84" t="s">
        <v>99</v>
      </c>
      <c r="V261" s="84" t="str">
        <f t="shared" ref="V261:V289" si="25">A261&amp;C261&amp;D261&amp;E261&amp;F261&amp;G261&amp;H261&amp;J261</f>
        <v>311UND33LDSCHERER-NON392.5125nt66.326Transport &amp;  Dispose of Combustibles</v>
      </c>
    </row>
    <row r="262" spans="1:22" ht="15" customHeight="1" x14ac:dyDescent="0.25">
      <c r="A262" s="85" t="s">
        <v>106</v>
      </c>
      <c r="B262" s="86" t="s">
        <v>152</v>
      </c>
      <c r="C262" s="101" t="s">
        <v>150</v>
      </c>
      <c r="D262" s="85" t="s">
        <v>136</v>
      </c>
      <c r="E262" s="85" t="s">
        <v>193</v>
      </c>
      <c r="F262" s="92">
        <f>'Scherer Data'!$D$25/4*Q262</f>
        <v>523.35</v>
      </c>
      <c r="G262" s="85" t="s">
        <v>33</v>
      </c>
      <c r="H262" s="91">
        <f>'Scherer Data'!$E$25</f>
        <v>66.325999999999993</v>
      </c>
      <c r="I262" s="135">
        <f>'Scherer Data'!$F$25/4*Q262</f>
        <v>34017.75</v>
      </c>
      <c r="J262" s="85" t="s">
        <v>41</v>
      </c>
      <c r="K262" s="85" t="s">
        <v>63</v>
      </c>
      <c r="L262" s="85" t="s">
        <v>63</v>
      </c>
      <c r="M262" s="85" t="str">
        <f t="shared" si="22"/>
        <v>Transport &amp;  Dispose of Combustibles</v>
      </c>
      <c r="N262" s="84">
        <f t="shared" si="23"/>
        <v>66.325999999999993</v>
      </c>
      <c r="O262" s="87">
        <f t="shared" si="24"/>
        <v>34017.75</v>
      </c>
      <c r="P262" s="88" t="s">
        <v>73</v>
      </c>
      <c r="Q262" s="147">
        <v>1</v>
      </c>
      <c r="R262" s="143" t="s">
        <v>203</v>
      </c>
      <c r="S262" s="96" t="s">
        <v>146</v>
      </c>
      <c r="T262" s="84" t="s">
        <v>82</v>
      </c>
      <c r="U262" s="84" t="s">
        <v>99</v>
      </c>
      <c r="V262" s="84" t="str">
        <f t="shared" si="25"/>
        <v>311UND44LDSCHERER-NON523.35nt66.326Transport &amp;  Dispose of Combustibles</v>
      </c>
    </row>
    <row r="263" spans="1:22" ht="15" customHeight="1" x14ac:dyDescent="0.25">
      <c r="A263" s="85" t="s">
        <v>127</v>
      </c>
      <c r="B263" s="86" t="s">
        <v>160</v>
      </c>
      <c r="C263" s="101" t="s">
        <v>147</v>
      </c>
      <c r="D263" s="85" t="s">
        <v>112</v>
      </c>
      <c r="E263" s="85" t="s">
        <v>193</v>
      </c>
      <c r="F263" s="92">
        <f>'Scherer Data'!$D$30/4*Q263</f>
        <v>74906.160792452822</v>
      </c>
      <c r="G263" s="85" t="s">
        <v>36</v>
      </c>
      <c r="H263" s="91">
        <f>'Scherer Data'!$E$30</f>
        <v>-0.31414430979039298</v>
      </c>
      <c r="I263" s="116">
        <f>'Scherer Data'!$F$30/4*Q263</f>
        <v>-23531.34418119329</v>
      </c>
      <c r="J263" s="85" t="s">
        <v>128</v>
      </c>
      <c r="K263" s="85" t="s">
        <v>119</v>
      </c>
      <c r="L263" s="85" t="s">
        <v>129</v>
      </c>
      <c r="M263" s="85" t="str">
        <f t="shared" si="22"/>
        <v>Unit &amp; Service Transformers - CU Sales</v>
      </c>
      <c r="N263" s="84">
        <f t="shared" si="23"/>
        <v>-0.31414430979039298</v>
      </c>
      <c r="O263" s="87">
        <f t="shared" si="24"/>
        <v>-23531.34418119329</v>
      </c>
      <c r="P263" s="88" t="s">
        <v>73</v>
      </c>
      <c r="Q263" s="147">
        <v>8.4000000000000005E-2</v>
      </c>
      <c r="R263" s="143" t="s">
        <v>203</v>
      </c>
      <c r="S263" s="96" t="s">
        <v>145</v>
      </c>
      <c r="T263" s="84" t="s">
        <v>82</v>
      </c>
      <c r="U263" s="84" t="s">
        <v>99</v>
      </c>
      <c r="V263" s="84" t="str">
        <f t="shared" si="25"/>
        <v>315UND11MSSCHERER-NON74906.1607924528lbs-0.314144309790393Unit &amp; Service Transformers - CU Sales</v>
      </c>
    </row>
    <row r="264" spans="1:22" ht="15" customHeight="1" x14ac:dyDescent="0.25">
      <c r="A264" s="85" t="s">
        <v>127</v>
      </c>
      <c r="B264" s="86" t="s">
        <v>160</v>
      </c>
      <c r="C264" s="101" t="s">
        <v>148</v>
      </c>
      <c r="D264" s="85" t="s">
        <v>114</v>
      </c>
      <c r="E264" s="85" t="s">
        <v>193</v>
      </c>
      <c r="F264" s="92">
        <f>'Scherer Data'!$D$30/4*Q264</f>
        <v>74906.160792452822</v>
      </c>
      <c r="G264" s="85" t="s">
        <v>36</v>
      </c>
      <c r="H264" s="91">
        <f>'Scherer Data'!$E$30</f>
        <v>-0.31414430979039298</v>
      </c>
      <c r="I264" s="116">
        <f>'Scherer Data'!$F$30/4*Q264</f>
        <v>-23531.34418119329</v>
      </c>
      <c r="J264" s="85" t="s">
        <v>128</v>
      </c>
      <c r="K264" s="85" t="s">
        <v>119</v>
      </c>
      <c r="L264" s="85" t="s">
        <v>129</v>
      </c>
      <c r="M264" s="85" t="str">
        <f t="shared" si="22"/>
        <v>Unit &amp; Service Transformers - CU Sales</v>
      </c>
      <c r="N264" s="84">
        <f t="shared" si="23"/>
        <v>-0.31414430979039298</v>
      </c>
      <c r="O264" s="87">
        <f t="shared" si="24"/>
        <v>-23531.34418119329</v>
      </c>
      <c r="P264" s="88" t="s">
        <v>73</v>
      </c>
      <c r="Q264" s="147">
        <v>8.4000000000000005E-2</v>
      </c>
      <c r="R264" s="143" t="s">
        <v>203</v>
      </c>
      <c r="S264" s="96" t="s">
        <v>145</v>
      </c>
      <c r="T264" s="84" t="s">
        <v>82</v>
      </c>
      <c r="U264" s="84" t="s">
        <v>99</v>
      </c>
      <c r="V264" s="84" t="str">
        <f t="shared" si="25"/>
        <v>315UND22MSSCHERER-NON74906.1607924528lbs-0.314144309790393Unit &amp; Service Transformers - CU Sales</v>
      </c>
    </row>
    <row r="265" spans="1:22" ht="15" customHeight="1" x14ac:dyDescent="0.25">
      <c r="A265" s="85" t="s">
        <v>127</v>
      </c>
      <c r="B265" s="86" t="s">
        <v>160</v>
      </c>
      <c r="C265" s="101" t="s">
        <v>147</v>
      </c>
      <c r="D265" s="85" t="s">
        <v>112</v>
      </c>
      <c r="E265" s="85" t="s">
        <v>193</v>
      </c>
      <c r="F265" s="92">
        <f>'Scherer Data'!$D$30/4*Q265</f>
        <v>816833.84864150942</v>
      </c>
      <c r="G265" s="85" t="s">
        <v>36</v>
      </c>
      <c r="H265" s="91">
        <f>'Scherer Data'!$E$30</f>
        <v>-0.31414430979039298</v>
      </c>
      <c r="I265" s="116">
        <f>'Scherer Data'!$F$30/4*Q265</f>
        <v>-256603.70559491729</v>
      </c>
      <c r="J265" s="85" t="s">
        <v>128</v>
      </c>
      <c r="K265" s="85" t="s">
        <v>119</v>
      </c>
      <c r="L265" s="85" t="s">
        <v>129</v>
      </c>
      <c r="M265" s="85" t="str">
        <f t="shared" si="22"/>
        <v>Unit &amp; Service Transformers - CU Sales</v>
      </c>
      <c r="N265" s="84">
        <f t="shared" si="23"/>
        <v>-0.31414430979039298</v>
      </c>
      <c r="O265" s="87">
        <f t="shared" si="24"/>
        <v>-256603.70559491729</v>
      </c>
      <c r="P265" s="88" t="s">
        <v>73</v>
      </c>
      <c r="Q265" s="147">
        <v>0.91600000000000004</v>
      </c>
      <c r="R265" s="143" t="s">
        <v>203</v>
      </c>
      <c r="S265" s="96" t="s">
        <v>145</v>
      </c>
      <c r="T265" s="84" t="s">
        <v>82</v>
      </c>
      <c r="U265" s="84" t="s">
        <v>99</v>
      </c>
      <c r="V265" s="84" t="str">
        <f t="shared" si="25"/>
        <v>315UND11MSSCHERER-NON816833.848641509lbs-0.314144309790393Unit &amp; Service Transformers - CU Sales</v>
      </c>
    </row>
    <row r="266" spans="1:22" ht="15" customHeight="1" x14ac:dyDescent="0.25">
      <c r="A266" s="85" t="s">
        <v>127</v>
      </c>
      <c r="B266" s="86" t="s">
        <v>160</v>
      </c>
      <c r="C266" s="101" t="s">
        <v>148</v>
      </c>
      <c r="D266" s="85" t="s">
        <v>114</v>
      </c>
      <c r="E266" s="85" t="s">
        <v>193</v>
      </c>
      <c r="F266" s="92">
        <f>'Scherer Data'!$D$30/4*Q266</f>
        <v>816833.84864150942</v>
      </c>
      <c r="G266" s="85" t="s">
        <v>36</v>
      </c>
      <c r="H266" s="91">
        <f>'Scherer Data'!$E$30</f>
        <v>-0.31414430979039298</v>
      </c>
      <c r="I266" s="116">
        <f>'Scherer Data'!$F$30/4*Q266</f>
        <v>-256603.70559491729</v>
      </c>
      <c r="J266" s="85" t="s">
        <v>128</v>
      </c>
      <c r="K266" s="85" t="s">
        <v>119</v>
      </c>
      <c r="L266" s="85" t="s">
        <v>129</v>
      </c>
      <c r="M266" s="85" t="str">
        <f t="shared" si="22"/>
        <v>Unit &amp; Service Transformers - CU Sales</v>
      </c>
      <c r="N266" s="84">
        <f t="shared" si="23"/>
        <v>-0.31414430979039298</v>
      </c>
      <c r="O266" s="87">
        <f t="shared" si="24"/>
        <v>-256603.70559491729</v>
      </c>
      <c r="P266" s="88" t="s">
        <v>73</v>
      </c>
      <c r="Q266" s="147">
        <v>0.91600000000000004</v>
      </c>
      <c r="R266" s="143" t="s">
        <v>203</v>
      </c>
      <c r="S266" s="96" t="s">
        <v>145</v>
      </c>
      <c r="T266" s="84" t="s">
        <v>82</v>
      </c>
      <c r="U266" s="84" t="s">
        <v>99</v>
      </c>
      <c r="V266" s="84" t="str">
        <f t="shared" si="25"/>
        <v>315UND22MSSCHERER-NON816833.848641509lbs-0.314144309790393Unit &amp; Service Transformers - CU Sales</v>
      </c>
    </row>
    <row r="267" spans="1:22" ht="15" customHeight="1" x14ac:dyDescent="0.25">
      <c r="A267" s="85" t="s">
        <v>127</v>
      </c>
      <c r="B267" s="86" t="s">
        <v>160</v>
      </c>
      <c r="C267" s="101" t="s">
        <v>149</v>
      </c>
      <c r="D267" s="85" t="s">
        <v>133</v>
      </c>
      <c r="E267" s="85" t="s">
        <v>193</v>
      </c>
      <c r="F267" s="92">
        <f>'Scherer Data'!$D$30/4*Q267</f>
        <v>668805.00707547157</v>
      </c>
      <c r="G267" s="85" t="s">
        <v>36</v>
      </c>
      <c r="H267" s="91">
        <f>'Scherer Data'!$E$30</f>
        <v>-0.31414430979039298</v>
      </c>
      <c r="I267" s="116">
        <f>'Scherer Data'!$F$30/4*Q267</f>
        <v>-210101.28733208292</v>
      </c>
      <c r="J267" s="85" t="s">
        <v>128</v>
      </c>
      <c r="K267" s="85" t="s">
        <v>119</v>
      </c>
      <c r="L267" s="85" t="s">
        <v>129</v>
      </c>
      <c r="M267" s="85" t="str">
        <f t="shared" si="22"/>
        <v>Unit &amp; Service Transformers - CU Sales</v>
      </c>
      <c r="N267" s="84">
        <f t="shared" si="23"/>
        <v>-0.31414430979039298</v>
      </c>
      <c r="O267" s="87">
        <f t="shared" si="24"/>
        <v>-210101.28733208292</v>
      </c>
      <c r="P267" s="88" t="s">
        <v>73</v>
      </c>
      <c r="Q267" s="147">
        <v>0.75</v>
      </c>
      <c r="R267" s="143" t="s">
        <v>203</v>
      </c>
      <c r="S267" s="96" t="s">
        <v>145</v>
      </c>
      <c r="T267" s="84" t="s">
        <v>82</v>
      </c>
      <c r="U267" s="84" t="s">
        <v>99</v>
      </c>
      <c r="V267" s="84" t="str">
        <f t="shared" si="25"/>
        <v>315UND33MSSCHERER-NON668805.007075472lbs-0.314144309790393Unit &amp; Service Transformers - CU Sales</v>
      </c>
    </row>
    <row r="268" spans="1:22" ht="15" customHeight="1" x14ac:dyDescent="0.25">
      <c r="A268" s="85" t="s">
        <v>127</v>
      </c>
      <c r="B268" s="86" t="s">
        <v>160</v>
      </c>
      <c r="C268" s="101" t="s">
        <v>150</v>
      </c>
      <c r="D268" s="85" t="s">
        <v>134</v>
      </c>
      <c r="E268" s="85" t="s">
        <v>193</v>
      </c>
      <c r="F268" s="92">
        <f>'Scherer Data'!$D$30/4*Q268</f>
        <v>891740.00943396217</v>
      </c>
      <c r="G268" s="85" t="s">
        <v>36</v>
      </c>
      <c r="H268" s="91">
        <f>'Scherer Data'!$E$30</f>
        <v>-0.31414430979039298</v>
      </c>
      <c r="I268" s="116">
        <f>'Scherer Data'!$F$30/4*Q268</f>
        <v>-280135.04977611057</v>
      </c>
      <c r="J268" s="85" t="s">
        <v>128</v>
      </c>
      <c r="K268" s="85" t="s">
        <v>119</v>
      </c>
      <c r="L268" s="85" t="s">
        <v>129</v>
      </c>
      <c r="M268" s="85" t="str">
        <f t="shared" si="22"/>
        <v>Unit &amp; Service Transformers - CU Sales</v>
      </c>
      <c r="N268" s="84">
        <f t="shared" si="23"/>
        <v>-0.31414430979039298</v>
      </c>
      <c r="O268" s="87">
        <f t="shared" si="24"/>
        <v>-280135.04977611057</v>
      </c>
      <c r="P268" s="88" t="s">
        <v>73</v>
      </c>
      <c r="Q268" s="147">
        <v>1</v>
      </c>
      <c r="R268" s="143" t="s">
        <v>203</v>
      </c>
      <c r="S268" s="96" t="s">
        <v>145</v>
      </c>
      <c r="T268" s="84" t="s">
        <v>82</v>
      </c>
      <c r="U268" s="84" t="s">
        <v>99</v>
      </c>
      <c r="V268" s="84" t="str">
        <f t="shared" si="25"/>
        <v>315UND44MSSCHERER-NON891740.009433962lbs-0.314144309790393Unit &amp; Service Transformers - CU Sales</v>
      </c>
    </row>
    <row r="269" spans="1:22" ht="15" customHeight="1" x14ac:dyDescent="0.25">
      <c r="A269" s="85" t="s">
        <v>127</v>
      </c>
      <c r="B269" s="86" t="s">
        <v>160</v>
      </c>
      <c r="C269" s="101" t="s">
        <v>147</v>
      </c>
      <c r="D269" s="85" t="s">
        <v>67</v>
      </c>
      <c r="E269" s="85" t="s">
        <v>193</v>
      </c>
      <c r="F269" s="92">
        <f>'Scherer Data'!$D$29/4*Q269</f>
        <v>60.151917000000005</v>
      </c>
      <c r="G269" s="85" t="s">
        <v>33</v>
      </c>
      <c r="H269" s="90">
        <f>'Scherer Data'!$E$29</f>
        <v>255.1</v>
      </c>
      <c r="I269" s="116">
        <f>'Scherer Data'!$F$29/4*Q269</f>
        <v>15344.754026700002</v>
      </c>
      <c r="J269" s="85" t="s">
        <v>130</v>
      </c>
      <c r="K269" s="85" t="s">
        <v>63</v>
      </c>
      <c r="L269" s="85" t="s">
        <v>129</v>
      </c>
      <c r="M269" s="85" t="str">
        <f t="shared" si="22"/>
        <v>Unit &amp; Service Transformers - Demo</v>
      </c>
      <c r="N269" s="84">
        <f t="shared" si="23"/>
        <v>255.1</v>
      </c>
      <c r="O269" s="87">
        <f t="shared" si="24"/>
        <v>15344.754026700002</v>
      </c>
      <c r="P269" s="88" t="s">
        <v>73</v>
      </c>
      <c r="Q269" s="147">
        <v>8.4000000000000005E-2</v>
      </c>
      <c r="R269" s="143" t="s">
        <v>203</v>
      </c>
      <c r="S269" s="96" t="s">
        <v>143</v>
      </c>
      <c r="T269" s="84" t="s">
        <v>82</v>
      </c>
      <c r="U269" s="84" t="s">
        <v>99</v>
      </c>
      <c r="V269" s="84" t="str">
        <f t="shared" si="25"/>
        <v>315UND11LRSCHERER-NON60.151917nt255.1Unit &amp; Service Transformers - Demo</v>
      </c>
    </row>
    <row r="270" spans="1:22" ht="15" customHeight="1" x14ac:dyDescent="0.25">
      <c r="A270" s="85" t="s">
        <v>127</v>
      </c>
      <c r="B270" s="86" t="s">
        <v>160</v>
      </c>
      <c r="C270" s="101" t="s">
        <v>148</v>
      </c>
      <c r="D270" s="85" t="s">
        <v>68</v>
      </c>
      <c r="E270" s="85" t="s">
        <v>193</v>
      </c>
      <c r="F270" s="92">
        <f>'Scherer Data'!$D$29/4*Q270</f>
        <v>60.151917000000005</v>
      </c>
      <c r="G270" s="85" t="s">
        <v>33</v>
      </c>
      <c r="H270" s="90">
        <f>'Scherer Data'!$E$29</f>
        <v>255.1</v>
      </c>
      <c r="I270" s="116">
        <f>'Scherer Data'!$F$29/4*Q270</f>
        <v>15344.754026700002</v>
      </c>
      <c r="J270" s="85" t="s">
        <v>130</v>
      </c>
      <c r="K270" s="85" t="s">
        <v>63</v>
      </c>
      <c r="L270" s="85" t="s">
        <v>129</v>
      </c>
      <c r="M270" s="85" t="str">
        <f t="shared" si="22"/>
        <v>Unit &amp; Service Transformers - Demo</v>
      </c>
      <c r="N270" s="84">
        <f t="shared" si="23"/>
        <v>255.1</v>
      </c>
      <c r="O270" s="87">
        <f t="shared" si="24"/>
        <v>15344.754026700002</v>
      </c>
      <c r="P270" s="88" t="s">
        <v>73</v>
      </c>
      <c r="Q270" s="147">
        <v>8.4000000000000005E-2</v>
      </c>
      <c r="R270" s="143" t="s">
        <v>203</v>
      </c>
      <c r="S270" s="96" t="s">
        <v>143</v>
      </c>
      <c r="T270" s="84" t="s">
        <v>82</v>
      </c>
      <c r="U270" s="84" t="s">
        <v>99</v>
      </c>
      <c r="V270" s="84" t="str">
        <f t="shared" si="25"/>
        <v>315UND22LRSCHERER-NON60.151917nt255.1Unit &amp; Service Transformers - Demo</v>
      </c>
    </row>
    <row r="271" spans="1:22" ht="15" customHeight="1" x14ac:dyDescent="0.25">
      <c r="A271" s="85" t="s">
        <v>127</v>
      </c>
      <c r="B271" s="86" t="s">
        <v>160</v>
      </c>
      <c r="C271" s="101" t="s">
        <v>147</v>
      </c>
      <c r="D271" s="85" t="s">
        <v>67</v>
      </c>
      <c r="E271" s="85" t="s">
        <v>193</v>
      </c>
      <c r="F271" s="92">
        <f>'Scherer Data'!$D$29/4*Q271</f>
        <v>655.94233299999996</v>
      </c>
      <c r="G271" s="85" t="s">
        <v>33</v>
      </c>
      <c r="H271" s="90">
        <f>'Scherer Data'!$E$29</f>
        <v>255.1</v>
      </c>
      <c r="I271" s="116">
        <f>'Scherer Data'!$F$29/4*Q271</f>
        <v>167330.88914830002</v>
      </c>
      <c r="J271" s="85" t="s">
        <v>130</v>
      </c>
      <c r="K271" s="85" t="s">
        <v>63</v>
      </c>
      <c r="L271" s="85" t="s">
        <v>129</v>
      </c>
      <c r="M271" s="85" t="str">
        <f t="shared" si="22"/>
        <v>Unit &amp; Service Transformers - Demo</v>
      </c>
      <c r="N271" s="84">
        <f t="shared" si="23"/>
        <v>255.1</v>
      </c>
      <c r="O271" s="87">
        <f t="shared" si="24"/>
        <v>167330.88914830002</v>
      </c>
      <c r="P271" s="88" t="s">
        <v>73</v>
      </c>
      <c r="Q271" s="147">
        <v>0.91600000000000004</v>
      </c>
      <c r="R271" s="143" t="s">
        <v>203</v>
      </c>
      <c r="S271" s="96" t="s">
        <v>143</v>
      </c>
      <c r="T271" s="84" t="s">
        <v>82</v>
      </c>
      <c r="U271" s="84" t="s">
        <v>99</v>
      </c>
      <c r="V271" s="84" t="str">
        <f t="shared" si="25"/>
        <v>315UND11LRSCHERER-NON655.942333nt255.1Unit &amp; Service Transformers - Demo</v>
      </c>
    </row>
    <row r="272" spans="1:22" ht="15" customHeight="1" x14ac:dyDescent="0.25">
      <c r="A272" s="85" t="s">
        <v>127</v>
      </c>
      <c r="B272" s="86" t="s">
        <v>160</v>
      </c>
      <c r="C272" s="101" t="s">
        <v>148</v>
      </c>
      <c r="D272" s="85" t="s">
        <v>68</v>
      </c>
      <c r="E272" s="85" t="s">
        <v>193</v>
      </c>
      <c r="F272" s="92">
        <f>'Scherer Data'!$D$29/4*Q272</f>
        <v>655.94233299999996</v>
      </c>
      <c r="G272" s="85" t="s">
        <v>33</v>
      </c>
      <c r="H272" s="90">
        <f>'Scherer Data'!$E$29</f>
        <v>255.1</v>
      </c>
      <c r="I272" s="116">
        <f>'Scherer Data'!$F$29/4*Q272</f>
        <v>167330.88914830002</v>
      </c>
      <c r="J272" s="85" t="s">
        <v>130</v>
      </c>
      <c r="K272" s="85" t="s">
        <v>63</v>
      </c>
      <c r="L272" s="85" t="s">
        <v>129</v>
      </c>
      <c r="M272" s="85" t="str">
        <f t="shared" si="22"/>
        <v>Unit &amp; Service Transformers - Demo</v>
      </c>
      <c r="N272" s="84">
        <f t="shared" si="23"/>
        <v>255.1</v>
      </c>
      <c r="O272" s="87">
        <f t="shared" si="24"/>
        <v>167330.88914830002</v>
      </c>
      <c r="P272" s="88" t="s">
        <v>73</v>
      </c>
      <c r="Q272" s="147">
        <v>0.91600000000000004</v>
      </c>
      <c r="R272" s="143" t="s">
        <v>203</v>
      </c>
      <c r="S272" s="96" t="s">
        <v>143</v>
      </c>
      <c r="T272" s="84" t="s">
        <v>82</v>
      </c>
      <c r="U272" s="84" t="s">
        <v>99</v>
      </c>
      <c r="V272" s="84" t="str">
        <f t="shared" si="25"/>
        <v>315UND22LRSCHERER-NON655.942333nt255.1Unit &amp; Service Transformers - Demo</v>
      </c>
    </row>
    <row r="273" spans="1:22" ht="15" customHeight="1" x14ac:dyDescent="0.25">
      <c r="A273" s="85" t="s">
        <v>127</v>
      </c>
      <c r="B273" s="86" t="s">
        <v>160</v>
      </c>
      <c r="C273" s="101" t="s">
        <v>149</v>
      </c>
      <c r="D273" s="85" t="s">
        <v>69</v>
      </c>
      <c r="E273" s="85" t="s">
        <v>193</v>
      </c>
      <c r="F273" s="92">
        <f>'Scherer Data'!$D$29/4*Q273</f>
        <v>537.07068749999996</v>
      </c>
      <c r="G273" s="85" t="s">
        <v>33</v>
      </c>
      <c r="H273" s="90">
        <f>'Scherer Data'!$E$29</f>
        <v>255.1</v>
      </c>
      <c r="I273" s="116">
        <f>'Scherer Data'!$F$29/4*Q273</f>
        <v>137006.73238125001</v>
      </c>
      <c r="J273" s="85" t="s">
        <v>130</v>
      </c>
      <c r="K273" s="85" t="s">
        <v>63</v>
      </c>
      <c r="L273" s="85" t="s">
        <v>129</v>
      </c>
      <c r="M273" s="85" t="str">
        <f t="shared" si="22"/>
        <v>Unit &amp; Service Transformers - Demo</v>
      </c>
      <c r="N273" s="84">
        <f t="shared" si="23"/>
        <v>255.1</v>
      </c>
      <c r="O273" s="87">
        <f t="shared" si="24"/>
        <v>137006.73238125001</v>
      </c>
      <c r="P273" s="88" t="s">
        <v>73</v>
      </c>
      <c r="Q273" s="147">
        <v>0.75</v>
      </c>
      <c r="R273" s="143" t="s">
        <v>203</v>
      </c>
      <c r="S273" s="96" t="s">
        <v>143</v>
      </c>
      <c r="T273" s="84" t="s">
        <v>82</v>
      </c>
      <c r="U273" s="84" t="s">
        <v>99</v>
      </c>
      <c r="V273" s="84" t="str">
        <f t="shared" si="25"/>
        <v>315UND33LRSCHERER-NON537.0706875nt255.1Unit &amp; Service Transformers - Demo</v>
      </c>
    </row>
    <row r="274" spans="1:22" ht="15" customHeight="1" x14ac:dyDescent="0.25">
      <c r="A274" s="85" t="s">
        <v>127</v>
      </c>
      <c r="B274" s="86" t="s">
        <v>160</v>
      </c>
      <c r="C274" s="101" t="s">
        <v>150</v>
      </c>
      <c r="D274" s="85" t="s">
        <v>70</v>
      </c>
      <c r="E274" s="85" t="s">
        <v>193</v>
      </c>
      <c r="F274" s="92">
        <f>'Scherer Data'!$D$29/4*Q274</f>
        <v>716.09424999999999</v>
      </c>
      <c r="G274" s="85" t="s">
        <v>33</v>
      </c>
      <c r="H274" s="90">
        <f>'Scherer Data'!$E$29</f>
        <v>255.1</v>
      </c>
      <c r="I274" s="116">
        <f>'Scherer Data'!$F$29/4*Q274</f>
        <v>182675.643175</v>
      </c>
      <c r="J274" s="85" t="s">
        <v>130</v>
      </c>
      <c r="K274" s="85" t="s">
        <v>63</v>
      </c>
      <c r="L274" s="85" t="s">
        <v>129</v>
      </c>
      <c r="M274" s="85" t="str">
        <f t="shared" si="22"/>
        <v>Unit &amp; Service Transformers - Demo</v>
      </c>
      <c r="N274" s="84">
        <f t="shared" si="23"/>
        <v>255.1</v>
      </c>
      <c r="O274" s="87">
        <f t="shared" si="24"/>
        <v>182675.643175</v>
      </c>
      <c r="P274" s="88" t="s">
        <v>73</v>
      </c>
      <c r="Q274" s="147">
        <v>1</v>
      </c>
      <c r="R274" s="143" t="s">
        <v>203</v>
      </c>
      <c r="S274" s="96" t="s">
        <v>143</v>
      </c>
      <c r="T274" s="84" t="s">
        <v>82</v>
      </c>
      <c r="U274" s="84" t="s">
        <v>99</v>
      </c>
      <c r="V274" s="84" t="str">
        <f t="shared" si="25"/>
        <v>315UND44LRSCHERER-NON716.09425nt255.1Unit &amp; Service Transformers - Demo</v>
      </c>
    </row>
    <row r="275" spans="1:22" ht="15" customHeight="1" x14ac:dyDescent="0.25">
      <c r="A275" s="85" t="s">
        <v>127</v>
      </c>
      <c r="B275" s="86" t="s">
        <v>160</v>
      </c>
      <c r="C275" s="101" t="s">
        <v>147</v>
      </c>
      <c r="D275" s="85" t="s">
        <v>112</v>
      </c>
      <c r="E275" s="85" t="s">
        <v>193</v>
      </c>
      <c r="F275" s="92">
        <f>'Scherer Data'!$D$31/4*Q275</f>
        <v>60.151917000000005</v>
      </c>
      <c r="G275" s="85" t="s">
        <v>33</v>
      </c>
      <c r="H275" s="90">
        <f>'Scherer Data'!$E$31</f>
        <v>-108.3695731319762</v>
      </c>
      <c r="I275" s="116">
        <f>'Scherer Data'!$F$31/4*Q275</f>
        <v>-6518.6375683600618</v>
      </c>
      <c r="J275" s="85" t="s">
        <v>131</v>
      </c>
      <c r="K275" s="85" t="s">
        <v>110</v>
      </c>
      <c r="L275" s="85" t="s">
        <v>129</v>
      </c>
      <c r="M275" s="85" t="str">
        <f t="shared" si="22"/>
        <v>Unit &amp; Service Transformers - FE Sales</v>
      </c>
      <c r="N275" s="84">
        <f t="shared" si="23"/>
        <v>-108.3695731319762</v>
      </c>
      <c r="O275" s="87">
        <f t="shared" si="24"/>
        <v>-6518.6375683600618</v>
      </c>
      <c r="P275" s="88" t="s">
        <v>73</v>
      </c>
      <c r="Q275" s="147">
        <v>8.4000000000000005E-2</v>
      </c>
      <c r="R275" s="143" t="s">
        <v>203</v>
      </c>
      <c r="S275" s="96" t="s">
        <v>145</v>
      </c>
      <c r="T275" s="84" t="s">
        <v>82</v>
      </c>
      <c r="U275" s="84" t="s">
        <v>99</v>
      </c>
      <c r="V275" s="84" t="str">
        <f t="shared" si="25"/>
        <v>315UND11MSSCHERER-NON60.151917nt-108.369573131976Unit &amp; Service Transformers - FE Sales</v>
      </c>
    </row>
    <row r="276" spans="1:22" ht="15" customHeight="1" x14ac:dyDescent="0.25">
      <c r="A276" s="85" t="s">
        <v>127</v>
      </c>
      <c r="B276" s="86" t="s">
        <v>160</v>
      </c>
      <c r="C276" s="101" t="s">
        <v>148</v>
      </c>
      <c r="D276" s="85" t="s">
        <v>114</v>
      </c>
      <c r="E276" s="85" t="s">
        <v>193</v>
      </c>
      <c r="F276" s="92">
        <f>'Scherer Data'!$D$31/4*Q276</f>
        <v>60.151917000000005</v>
      </c>
      <c r="G276" s="85" t="s">
        <v>33</v>
      </c>
      <c r="H276" s="90">
        <f>'Scherer Data'!$E$31</f>
        <v>-108.3695731319762</v>
      </c>
      <c r="I276" s="116">
        <f>'Scherer Data'!$F$31/4*Q276</f>
        <v>-6518.6375683600618</v>
      </c>
      <c r="J276" s="85" t="s">
        <v>131</v>
      </c>
      <c r="K276" s="85" t="s">
        <v>110</v>
      </c>
      <c r="L276" s="85" t="s">
        <v>129</v>
      </c>
      <c r="M276" s="85" t="str">
        <f t="shared" si="22"/>
        <v>Unit &amp; Service Transformers - FE Sales</v>
      </c>
      <c r="N276" s="84">
        <f t="shared" si="23"/>
        <v>-108.3695731319762</v>
      </c>
      <c r="O276" s="87">
        <f t="shared" si="24"/>
        <v>-6518.6375683600618</v>
      </c>
      <c r="P276" s="88" t="s">
        <v>73</v>
      </c>
      <c r="Q276" s="147">
        <v>8.4000000000000005E-2</v>
      </c>
      <c r="R276" s="143" t="s">
        <v>203</v>
      </c>
      <c r="S276" s="96" t="s">
        <v>145</v>
      </c>
      <c r="T276" s="84" t="s">
        <v>82</v>
      </c>
      <c r="U276" s="84" t="s">
        <v>99</v>
      </c>
      <c r="V276" s="84" t="str">
        <f t="shared" si="25"/>
        <v>315UND22MSSCHERER-NON60.151917nt-108.369573131976Unit &amp; Service Transformers - FE Sales</v>
      </c>
    </row>
    <row r="277" spans="1:22" ht="15" customHeight="1" x14ac:dyDescent="0.25">
      <c r="A277" s="85" t="s">
        <v>127</v>
      </c>
      <c r="B277" s="86" t="s">
        <v>160</v>
      </c>
      <c r="C277" s="101" t="s">
        <v>147</v>
      </c>
      <c r="D277" s="85" t="s">
        <v>112</v>
      </c>
      <c r="E277" s="85" t="s">
        <v>193</v>
      </c>
      <c r="F277" s="92">
        <f>'Scherer Data'!$D$31/4*Q277</f>
        <v>655.94233299999996</v>
      </c>
      <c r="G277" s="85" t="s">
        <v>33</v>
      </c>
      <c r="H277" s="90">
        <f>'Scherer Data'!$E$31</f>
        <v>-108.3695731319762</v>
      </c>
      <c r="I277" s="116">
        <f>'Scherer Data'!$F$31/4*Q277</f>
        <v>-71084.190626402575</v>
      </c>
      <c r="J277" s="85" t="s">
        <v>131</v>
      </c>
      <c r="K277" s="85" t="s">
        <v>110</v>
      </c>
      <c r="L277" s="85" t="s">
        <v>129</v>
      </c>
      <c r="M277" s="85" t="str">
        <f t="shared" si="22"/>
        <v>Unit &amp; Service Transformers - FE Sales</v>
      </c>
      <c r="N277" s="84">
        <f t="shared" si="23"/>
        <v>-108.3695731319762</v>
      </c>
      <c r="O277" s="87">
        <f t="shared" si="24"/>
        <v>-71084.190626402575</v>
      </c>
      <c r="P277" s="88" t="s">
        <v>73</v>
      </c>
      <c r="Q277" s="147">
        <v>0.91600000000000004</v>
      </c>
      <c r="R277" s="143" t="s">
        <v>203</v>
      </c>
      <c r="S277" s="96" t="s">
        <v>145</v>
      </c>
      <c r="T277" s="84" t="s">
        <v>82</v>
      </c>
      <c r="U277" s="84" t="s">
        <v>99</v>
      </c>
      <c r="V277" s="84" t="str">
        <f t="shared" si="25"/>
        <v>315UND11MSSCHERER-NON655.942333nt-108.369573131976Unit &amp; Service Transformers - FE Sales</v>
      </c>
    </row>
    <row r="278" spans="1:22" ht="15" customHeight="1" x14ac:dyDescent="0.25">
      <c r="A278" s="85" t="s">
        <v>127</v>
      </c>
      <c r="B278" s="86" t="s">
        <v>160</v>
      </c>
      <c r="C278" s="101" t="s">
        <v>148</v>
      </c>
      <c r="D278" s="85" t="s">
        <v>114</v>
      </c>
      <c r="E278" s="85" t="s">
        <v>193</v>
      </c>
      <c r="F278" s="92">
        <f>'Scherer Data'!$D$31/4*Q278</f>
        <v>655.94233299999996</v>
      </c>
      <c r="G278" s="85" t="s">
        <v>33</v>
      </c>
      <c r="H278" s="90">
        <f>'Scherer Data'!$E$31</f>
        <v>-108.3695731319762</v>
      </c>
      <c r="I278" s="116">
        <f>'Scherer Data'!$F$31/4*Q278</f>
        <v>-71084.190626402575</v>
      </c>
      <c r="J278" s="85" t="s">
        <v>131</v>
      </c>
      <c r="K278" s="85" t="s">
        <v>110</v>
      </c>
      <c r="L278" s="85" t="s">
        <v>129</v>
      </c>
      <c r="M278" s="85" t="str">
        <f t="shared" si="22"/>
        <v>Unit &amp; Service Transformers - FE Sales</v>
      </c>
      <c r="N278" s="84">
        <f t="shared" si="23"/>
        <v>-108.3695731319762</v>
      </c>
      <c r="O278" s="87">
        <f t="shared" si="24"/>
        <v>-71084.190626402575</v>
      </c>
      <c r="P278" s="88" t="s">
        <v>73</v>
      </c>
      <c r="Q278" s="147">
        <v>0.91600000000000004</v>
      </c>
      <c r="R278" s="143" t="s">
        <v>203</v>
      </c>
      <c r="S278" s="96" t="s">
        <v>145</v>
      </c>
      <c r="T278" s="84" t="s">
        <v>82</v>
      </c>
      <c r="U278" s="84" t="s">
        <v>99</v>
      </c>
      <c r="V278" s="84" t="str">
        <f t="shared" si="25"/>
        <v>315UND22MSSCHERER-NON655.942333nt-108.369573131976Unit &amp; Service Transformers - FE Sales</v>
      </c>
    </row>
    <row r="279" spans="1:22" ht="15" customHeight="1" x14ac:dyDescent="0.25">
      <c r="A279" s="85" t="s">
        <v>127</v>
      </c>
      <c r="B279" s="86" t="s">
        <v>160</v>
      </c>
      <c r="C279" s="101" t="s">
        <v>149</v>
      </c>
      <c r="D279" s="85" t="s">
        <v>133</v>
      </c>
      <c r="E279" s="85" t="s">
        <v>193</v>
      </c>
      <c r="F279" s="92">
        <f>'Scherer Data'!$D$31/4*Q279</f>
        <v>537.07068749999996</v>
      </c>
      <c r="G279" s="85" t="s">
        <v>33</v>
      </c>
      <c r="H279" s="90">
        <f>'Scherer Data'!$E$31</f>
        <v>-108.3695731319762</v>
      </c>
      <c r="I279" s="116">
        <f>'Scherer Data'!$F$31/4*Q279</f>
        <v>-58202.121146071979</v>
      </c>
      <c r="J279" s="85" t="s">
        <v>131</v>
      </c>
      <c r="K279" s="85" t="s">
        <v>110</v>
      </c>
      <c r="L279" s="85" t="s">
        <v>129</v>
      </c>
      <c r="M279" s="85" t="str">
        <f t="shared" si="22"/>
        <v>Unit &amp; Service Transformers - FE Sales</v>
      </c>
      <c r="N279" s="84">
        <f t="shared" si="23"/>
        <v>-108.3695731319762</v>
      </c>
      <c r="O279" s="87">
        <f t="shared" si="24"/>
        <v>-58202.121146071979</v>
      </c>
      <c r="P279" s="88" t="s">
        <v>73</v>
      </c>
      <c r="Q279" s="147">
        <v>0.75</v>
      </c>
      <c r="R279" s="143" t="s">
        <v>203</v>
      </c>
      <c r="S279" s="96" t="s">
        <v>145</v>
      </c>
      <c r="T279" s="84" t="s">
        <v>82</v>
      </c>
      <c r="U279" s="84" t="s">
        <v>99</v>
      </c>
      <c r="V279" s="84" t="str">
        <f t="shared" si="25"/>
        <v>315UND33MSSCHERER-NON537.0706875nt-108.369573131976Unit &amp; Service Transformers - FE Sales</v>
      </c>
    </row>
    <row r="280" spans="1:22" ht="15" customHeight="1" x14ac:dyDescent="0.25">
      <c r="A280" s="85" t="s">
        <v>127</v>
      </c>
      <c r="B280" s="86" t="s">
        <v>160</v>
      </c>
      <c r="C280" s="101" t="s">
        <v>150</v>
      </c>
      <c r="D280" s="85" t="s">
        <v>134</v>
      </c>
      <c r="E280" s="85" t="s">
        <v>193</v>
      </c>
      <c r="F280" s="92">
        <f>'Scherer Data'!$D$31/4*Q280</f>
        <v>716.09424999999999</v>
      </c>
      <c r="G280" s="85" t="s">
        <v>33</v>
      </c>
      <c r="H280" s="90">
        <f>'Scherer Data'!$E$31</f>
        <v>-108.3695731319762</v>
      </c>
      <c r="I280" s="116">
        <f>'Scherer Data'!$F$31/4*Q280</f>
        <v>-77602.828194762638</v>
      </c>
      <c r="J280" s="85" t="s">
        <v>131</v>
      </c>
      <c r="K280" s="85" t="s">
        <v>110</v>
      </c>
      <c r="L280" s="85" t="s">
        <v>129</v>
      </c>
      <c r="M280" s="85" t="str">
        <f t="shared" si="22"/>
        <v>Unit &amp; Service Transformers - FE Sales</v>
      </c>
      <c r="N280" s="84">
        <f t="shared" si="23"/>
        <v>-108.3695731319762</v>
      </c>
      <c r="O280" s="87">
        <f t="shared" si="24"/>
        <v>-77602.828194762638</v>
      </c>
      <c r="P280" s="88" t="s">
        <v>73</v>
      </c>
      <c r="Q280" s="147">
        <v>1</v>
      </c>
      <c r="R280" s="143" t="s">
        <v>203</v>
      </c>
      <c r="S280" s="96" t="s">
        <v>145</v>
      </c>
      <c r="T280" s="84" t="s">
        <v>82</v>
      </c>
      <c r="U280" s="84" t="s">
        <v>99</v>
      </c>
      <c r="V280" s="84" t="str">
        <f t="shared" si="25"/>
        <v>315UND44MSSCHERER-NON716.09425nt-108.369573131976Unit &amp; Service Transformers - FE Sales</v>
      </c>
    </row>
    <row r="281" spans="1:22" ht="15" customHeight="1" x14ac:dyDescent="0.25">
      <c r="A281" s="85" t="s">
        <v>137</v>
      </c>
      <c r="B281" s="86" t="s">
        <v>156</v>
      </c>
      <c r="C281" s="101" t="s">
        <v>147</v>
      </c>
      <c r="D281" s="85" t="s">
        <v>102</v>
      </c>
      <c r="E281" s="85" t="s">
        <v>193</v>
      </c>
      <c r="F281" s="92">
        <f>'Scherer Data'!$D$59/4*Q281</f>
        <v>2.1000000000000001E-2</v>
      </c>
      <c r="G281" s="85" t="s">
        <v>21</v>
      </c>
      <c r="H281" s="91">
        <f>'Scherer Data'!$E$59</f>
        <v>186080</v>
      </c>
      <c r="I281" s="135">
        <f>'Scherer Data'!$F$59/4*Q281</f>
        <v>3907.6800000000003</v>
      </c>
      <c r="J281" s="85" t="s">
        <v>49</v>
      </c>
      <c r="K281" s="85" t="s">
        <v>63</v>
      </c>
      <c r="L281" s="85" t="s">
        <v>63</v>
      </c>
      <c r="M281" s="85" t="str">
        <f t="shared" si="22"/>
        <v>Universal Wastes, Grease &amp; Oil Removal</v>
      </c>
      <c r="N281" s="84">
        <f t="shared" si="23"/>
        <v>186080</v>
      </c>
      <c r="O281" s="87">
        <f t="shared" si="24"/>
        <v>3907.6800000000003</v>
      </c>
      <c r="P281" s="88" t="s">
        <v>73</v>
      </c>
      <c r="Q281" s="147">
        <v>8.4000000000000005E-2</v>
      </c>
      <c r="R281" s="143" t="s">
        <v>203</v>
      </c>
      <c r="S281" s="96" t="s">
        <v>146</v>
      </c>
      <c r="T281" s="84" t="s">
        <v>82</v>
      </c>
      <c r="U281" s="84" t="s">
        <v>99</v>
      </c>
      <c r="V281" s="84" t="str">
        <f t="shared" si="25"/>
        <v>3430000FM11LDSCHERER-NON0.021ls186080Universal Wastes, Grease &amp; Oil Removal</v>
      </c>
    </row>
    <row r="282" spans="1:22" ht="15" customHeight="1" x14ac:dyDescent="0.25">
      <c r="A282" s="85" t="s">
        <v>137</v>
      </c>
      <c r="B282" s="86" t="s">
        <v>156</v>
      </c>
      <c r="C282" s="101" t="s">
        <v>148</v>
      </c>
      <c r="D282" s="85" t="s">
        <v>104</v>
      </c>
      <c r="E282" s="85" t="s">
        <v>193</v>
      </c>
      <c r="F282" s="92">
        <f>'Scherer Data'!$D$59/4*Q282</f>
        <v>2.1000000000000001E-2</v>
      </c>
      <c r="G282" s="85" t="s">
        <v>21</v>
      </c>
      <c r="H282" s="91">
        <f>'Scherer Data'!$E$59</f>
        <v>186080</v>
      </c>
      <c r="I282" s="135">
        <f>'Scherer Data'!$F$59/4*Q282</f>
        <v>3907.6800000000003</v>
      </c>
      <c r="J282" s="85" t="s">
        <v>49</v>
      </c>
      <c r="K282" s="85" t="s">
        <v>63</v>
      </c>
      <c r="L282" s="85" t="s">
        <v>63</v>
      </c>
      <c r="M282" s="85" t="str">
        <f t="shared" si="22"/>
        <v>Universal Wastes, Grease &amp; Oil Removal</v>
      </c>
      <c r="N282" s="84">
        <f t="shared" si="23"/>
        <v>186080</v>
      </c>
      <c r="O282" s="87">
        <f t="shared" si="24"/>
        <v>3907.6800000000003</v>
      </c>
      <c r="P282" s="88" t="s">
        <v>73</v>
      </c>
      <c r="Q282" s="147">
        <v>8.4000000000000005E-2</v>
      </c>
      <c r="R282" s="143" t="s">
        <v>203</v>
      </c>
      <c r="S282" s="96" t="s">
        <v>146</v>
      </c>
      <c r="T282" s="84" t="s">
        <v>82</v>
      </c>
      <c r="U282" s="84" t="s">
        <v>99</v>
      </c>
      <c r="V282" s="84" t="str">
        <f t="shared" si="25"/>
        <v>3430000FM22LDSCHERER-NON0.021ls186080Universal Wastes, Grease &amp; Oil Removal</v>
      </c>
    </row>
    <row r="283" spans="1:22" ht="15" customHeight="1" x14ac:dyDescent="0.25">
      <c r="A283" s="85" t="s">
        <v>137</v>
      </c>
      <c r="B283" s="86" t="s">
        <v>156</v>
      </c>
      <c r="C283" s="101" t="s">
        <v>147</v>
      </c>
      <c r="D283" s="85" t="s">
        <v>102</v>
      </c>
      <c r="E283" s="85" t="s">
        <v>193</v>
      </c>
      <c r="F283" s="92">
        <f>'Scherer Data'!$D$59/4*Q283</f>
        <v>0.22900000000000001</v>
      </c>
      <c r="G283" s="85" t="s">
        <v>21</v>
      </c>
      <c r="H283" s="91">
        <f>'Scherer Data'!$E$59</f>
        <v>186080</v>
      </c>
      <c r="I283" s="135">
        <f>'Scherer Data'!$F$59/4*Q283</f>
        <v>42612.32</v>
      </c>
      <c r="J283" s="85" t="s">
        <v>49</v>
      </c>
      <c r="K283" s="85" t="s">
        <v>63</v>
      </c>
      <c r="L283" s="85" t="s">
        <v>63</v>
      </c>
      <c r="M283" s="85" t="str">
        <f t="shared" si="22"/>
        <v>Universal Wastes, Grease &amp; Oil Removal</v>
      </c>
      <c r="N283" s="84">
        <f t="shared" si="23"/>
        <v>186080</v>
      </c>
      <c r="O283" s="87">
        <f t="shared" si="24"/>
        <v>42612.32</v>
      </c>
      <c r="P283" s="88" t="s">
        <v>73</v>
      </c>
      <c r="Q283" s="147">
        <v>0.91600000000000004</v>
      </c>
      <c r="R283" s="143" t="s">
        <v>203</v>
      </c>
      <c r="S283" s="96" t="s">
        <v>146</v>
      </c>
      <c r="T283" s="84" t="s">
        <v>82</v>
      </c>
      <c r="U283" s="84" t="s">
        <v>99</v>
      </c>
      <c r="V283" s="84" t="str">
        <f t="shared" si="25"/>
        <v>3430000FM11LDSCHERER-NON0.229ls186080Universal Wastes, Grease &amp; Oil Removal</v>
      </c>
    </row>
    <row r="284" spans="1:22" ht="15" customHeight="1" x14ac:dyDescent="0.25">
      <c r="A284" s="85" t="s">
        <v>137</v>
      </c>
      <c r="B284" s="86" t="s">
        <v>156</v>
      </c>
      <c r="C284" s="101" t="s">
        <v>148</v>
      </c>
      <c r="D284" s="85" t="s">
        <v>104</v>
      </c>
      <c r="E284" s="85" t="s">
        <v>193</v>
      </c>
      <c r="F284" s="92">
        <f>'Scherer Data'!$D$59/4*Q284</f>
        <v>0.22900000000000001</v>
      </c>
      <c r="G284" s="85" t="s">
        <v>21</v>
      </c>
      <c r="H284" s="91">
        <f>'Scherer Data'!$E$59</f>
        <v>186080</v>
      </c>
      <c r="I284" s="135">
        <f>'Scherer Data'!$F$59/4*Q284</f>
        <v>42612.32</v>
      </c>
      <c r="J284" s="85" t="s">
        <v>49</v>
      </c>
      <c r="K284" s="85" t="s">
        <v>63</v>
      </c>
      <c r="L284" s="85" t="s">
        <v>63</v>
      </c>
      <c r="M284" s="85" t="str">
        <f t="shared" si="22"/>
        <v>Universal Wastes, Grease &amp; Oil Removal</v>
      </c>
      <c r="N284" s="84">
        <f t="shared" si="23"/>
        <v>186080</v>
      </c>
      <c r="O284" s="87">
        <f t="shared" si="24"/>
        <v>42612.32</v>
      </c>
      <c r="P284" s="88" t="s">
        <v>73</v>
      </c>
      <c r="Q284" s="147">
        <v>0.91600000000000004</v>
      </c>
      <c r="R284" s="143" t="s">
        <v>203</v>
      </c>
      <c r="S284" s="96" t="s">
        <v>146</v>
      </c>
      <c r="T284" s="84" t="s">
        <v>82</v>
      </c>
      <c r="U284" s="84" t="s">
        <v>99</v>
      </c>
      <c r="V284" s="84" t="str">
        <f t="shared" si="25"/>
        <v>3430000FM22LDSCHERER-NON0.229ls186080Universal Wastes, Grease &amp; Oil Removal</v>
      </c>
    </row>
    <row r="285" spans="1:22" ht="15" customHeight="1" x14ac:dyDescent="0.25">
      <c r="A285" s="85" t="s">
        <v>137</v>
      </c>
      <c r="B285" s="86" t="s">
        <v>156</v>
      </c>
      <c r="C285" s="101" t="s">
        <v>149</v>
      </c>
      <c r="D285" s="85" t="s">
        <v>135</v>
      </c>
      <c r="E285" s="85" t="s">
        <v>193</v>
      </c>
      <c r="F285" s="92">
        <f>'Scherer Data'!$D$59/4*Q285</f>
        <v>0.1875</v>
      </c>
      <c r="G285" s="85" t="s">
        <v>21</v>
      </c>
      <c r="H285" s="91">
        <f>'Scherer Data'!$E$59</f>
        <v>186080</v>
      </c>
      <c r="I285" s="135">
        <f>'Scherer Data'!$F$59/4*Q285</f>
        <v>34890</v>
      </c>
      <c r="J285" s="85" t="s">
        <v>49</v>
      </c>
      <c r="K285" s="85" t="s">
        <v>63</v>
      </c>
      <c r="L285" s="85" t="s">
        <v>63</v>
      </c>
      <c r="M285" s="85" t="str">
        <f t="shared" si="22"/>
        <v>Universal Wastes, Grease &amp; Oil Removal</v>
      </c>
      <c r="N285" s="84">
        <f t="shared" si="23"/>
        <v>186080</v>
      </c>
      <c r="O285" s="87">
        <f t="shared" si="24"/>
        <v>34890</v>
      </c>
      <c r="P285" s="88" t="s">
        <v>73</v>
      </c>
      <c r="Q285" s="147">
        <v>0.75</v>
      </c>
      <c r="R285" s="143" t="s">
        <v>203</v>
      </c>
      <c r="S285" s="96" t="s">
        <v>146</v>
      </c>
      <c r="T285" s="84" t="s">
        <v>82</v>
      </c>
      <c r="U285" s="84" t="s">
        <v>99</v>
      </c>
      <c r="V285" s="84" t="str">
        <f t="shared" si="25"/>
        <v>3430000FM33LDSCHERER-NON0.1875ls186080Universal Wastes, Grease &amp; Oil Removal</v>
      </c>
    </row>
    <row r="286" spans="1:22" ht="15" customHeight="1" x14ac:dyDescent="0.25">
      <c r="A286" s="85" t="s">
        <v>137</v>
      </c>
      <c r="B286" s="86" t="s">
        <v>156</v>
      </c>
      <c r="C286" s="101" t="s">
        <v>150</v>
      </c>
      <c r="D286" s="85" t="s">
        <v>136</v>
      </c>
      <c r="E286" s="85" t="s">
        <v>193</v>
      </c>
      <c r="F286" s="92">
        <f>'Scherer Data'!$D$59/4*Q286</f>
        <v>0.25</v>
      </c>
      <c r="G286" s="85" t="s">
        <v>21</v>
      </c>
      <c r="H286" s="91">
        <f>'Scherer Data'!$E$59</f>
        <v>186080</v>
      </c>
      <c r="I286" s="135">
        <f>'Scherer Data'!$F$59/4*Q286</f>
        <v>46520</v>
      </c>
      <c r="J286" s="85" t="s">
        <v>49</v>
      </c>
      <c r="K286" s="85" t="s">
        <v>63</v>
      </c>
      <c r="L286" s="85" t="s">
        <v>63</v>
      </c>
      <c r="M286" s="85" t="str">
        <f t="shared" si="22"/>
        <v>Universal Wastes, Grease &amp; Oil Removal</v>
      </c>
      <c r="N286" s="84">
        <f t="shared" si="23"/>
        <v>186080</v>
      </c>
      <c r="O286" s="87">
        <f t="shared" si="24"/>
        <v>46520</v>
      </c>
      <c r="P286" s="88" t="s">
        <v>73</v>
      </c>
      <c r="Q286" s="147">
        <v>1</v>
      </c>
      <c r="R286" s="143" t="s">
        <v>203</v>
      </c>
      <c r="S286" s="96" t="s">
        <v>146</v>
      </c>
      <c r="T286" s="84" t="s">
        <v>82</v>
      </c>
      <c r="U286" s="84" t="s">
        <v>99</v>
      </c>
      <c r="V286" s="84" t="str">
        <f t="shared" si="25"/>
        <v>3430000FM44LDSCHERER-NON0.25ls186080Universal Wastes, Grease &amp; Oil Removal</v>
      </c>
    </row>
    <row r="287" spans="1:22" ht="15" customHeight="1" x14ac:dyDescent="0.25">
      <c r="A287" s="85" t="s">
        <v>106</v>
      </c>
      <c r="B287" s="86" t="s">
        <v>152</v>
      </c>
      <c r="C287" s="86" t="s">
        <v>71</v>
      </c>
      <c r="D287" s="85" t="s">
        <v>72</v>
      </c>
      <c r="E287" s="85" t="s">
        <v>193</v>
      </c>
      <c r="F287" s="151">
        <f>1*Q287</f>
        <v>0.9375</v>
      </c>
      <c r="G287" s="85" t="s">
        <v>21</v>
      </c>
      <c r="H287" s="90">
        <f>'Scherer Data'!$E$12</f>
        <v>250000</v>
      </c>
      <c r="I287" s="116">
        <f>'Scherer Data'!$F$12*Q287</f>
        <v>234375</v>
      </c>
      <c r="J287" s="85" t="s">
        <v>28</v>
      </c>
      <c r="K287" s="85" t="s">
        <v>63</v>
      </c>
      <c r="L287" s="85" t="s">
        <v>63</v>
      </c>
      <c r="M287" s="85" t="str">
        <f t="shared" si="22"/>
        <v>Utility Disconnects</v>
      </c>
      <c r="N287" s="84">
        <f t="shared" si="23"/>
        <v>250000</v>
      </c>
      <c r="O287" s="87">
        <f t="shared" si="24"/>
        <v>234375</v>
      </c>
      <c r="P287" s="88" t="s">
        <v>73</v>
      </c>
      <c r="Q287" s="147">
        <f>1-0.0625</f>
        <v>0.9375</v>
      </c>
      <c r="R287" s="143" t="s">
        <v>203</v>
      </c>
      <c r="S287" s="96" t="s">
        <v>143</v>
      </c>
      <c r="T287" s="84" t="s">
        <v>82</v>
      </c>
      <c r="U287" s="84" t="s">
        <v>99</v>
      </c>
      <c r="V287" s="84" t="str">
        <f t="shared" si="25"/>
        <v>311UNDCCLRSCHERER-NON0.9375ls250000Utility Disconnects</v>
      </c>
    </row>
    <row r="288" spans="1:22" ht="15" customHeight="1" x14ac:dyDescent="0.25">
      <c r="A288" s="85" t="s">
        <v>94</v>
      </c>
      <c r="B288" s="86" t="s">
        <v>153</v>
      </c>
      <c r="C288" s="86" t="s">
        <v>71</v>
      </c>
      <c r="D288" s="85" t="s">
        <v>72</v>
      </c>
      <c r="E288" s="102" t="s">
        <v>194</v>
      </c>
      <c r="F288" s="87">
        <v>0.6</v>
      </c>
      <c r="G288" s="85" t="s">
        <v>14</v>
      </c>
      <c r="H288" s="104">
        <f>SUMIFS($I$3:$I$289,$E$3:$E$289,$E288,$U$3:$U$289,"MARKUP",$S$3:$S$289,"REMOVAL")*0.01*Q288</f>
        <v>95046.000000000015</v>
      </c>
      <c r="I288" s="89">
        <f>F288*H288</f>
        <v>57027.600000000006</v>
      </c>
      <c r="J288" s="105" t="s">
        <v>95</v>
      </c>
      <c r="K288" s="85" t="s">
        <v>63</v>
      </c>
      <c r="L288" s="85" t="s">
        <v>63</v>
      </c>
      <c r="M288" s="85" t="str">
        <f t="shared" si="22"/>
        <v>WRAP-UP AND ALL-RISK INSURANCE</v>
      </c>
      <c r="N288" s="84">
        <f t="shared" si="23"/>
        <v>95046.000000000015</v>
      </c>
      <c r="O288" s="87">
        <f t="shared" si="24"/>
        <v>57027.600000000006</v>
      </c>
      <c r="P288" s="88" t="s">
        <v>65</v>
      </c>
      <c r="Q288" s="147">
        <f>1-0.0625</f>
        <v>0.9375</v>
      </c>
      <c r="R288" s="143" t="s">
        <v>203</v>
      </c>
      <c r="S288" s="96" t="s">
        <v>143</v>
      </c>
      <c r="T288" s="84" t="s">
        <v>66</v>
      </c>
      <c r="U288" s="84"/>
      <c r="V288" s="84" t="str">
        <f t="shared" si="25"/>
        <v>3080361CCLRSCHERER-ECO0.6%95046WRAP-UP AND ALL-RISK INSURANCE</v>
      </c>
    </row>
    <row r="289" spans="1:22" ht="15" customHeight="1" x14ac:dyDescent="0.25">
      <c r="A289" s="85" t="s">
        <v>94</v>
      </c>
      <c r="B289" s="86" t="s">
        <v>153</v>
      </c>
      <c r="C289" s="86" t="s">
        <v>71</v>
      </c>
      <c r="D289" s="85" t="s">
        <v>72</v>
      </c>
      <c r="E289" s="85" t="s">
        <v>193</v>
      </c>
      <c r="F289" s="87">
        <v>0.6</v>
      </c>
      <c r="G289" s="85" t="s">
        <v>14</v>
      </c>
      <c r="H289" s="104">
        <f>SUMIFS($I$3:$I$289,$E$3:$E$289,$E289,$U$3:$U$289,"MARKUP",$S$3:$S$289,"REMOVAL")*0.01*Q289</f>
        <v>328973.47500000009</v>
      </c>
      <c r="I289" s="89">
        <f>F289*H289</f>
        <v>197384.08500000005</v>
      </c>
      <c r="J289" s="105" t="s">
        <v>95</v>
      </c>
      <c r="K289" s="85" t="s">
        <v>63</v>
      </c>
      <c r="L289" s="85" t="s">
        <v>63</v>
      </c>
      <c r="M289" s="85" t="str">
        <f t="shared" si="22"/>
        <v>WRAP-UP AND ALL-RISK INSURANCE</v>
      </c>
      <c r="N289" s="84">
        <f t="shared" si="23"/>
        <v>328973.47500000009</v>
      </c>
      <c r="O289" s="87">
        <f t="shared" si="24"/>
        <v>197384.08500000005</v>
      </c>
      <c r="P289" s="88" t="s">
        <v>73</v>
      </c>
      <c r="Q289" s="147">
        <f>1-0.0625</f>
        <v>0.9375</v>
      </c>
      <c r="R289" s="143" t="s">
        <v>203</v>
      </c>
      <c r="S289" s="96" t="s">
        <v>143</v>
      </c>
      <c r="T289" s="84" t="s">
        <v>66</v>
      </c>
      <c r="U289" s="84"/>
      <c r="V289" s="84" t="str">
        <f t="shared" si="25"/>
        <v>3080361CCLRSCHERER-NON0.6%328973.475WRAP-UP AND ALL-RISK INSURANCE</v>
      </c>
    </row>
  </sheetData>
  <autoFilter ref="A2:V28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
  <sheetViews>
    <sheetView zoomScale="90" zoomScaleNormal="90" workbookViewId="0">
      <selection activeCell="A18" sqref="A18:I30"/>
    </sheetView>
  </sheetViews>
  <sheetFormatPr defaultRowHeight="15" x14ac:dyDescent="0.25"/>
  <cols>
    <col min="1" max="1" width="9.140625" style="174"/>
    <col min="2" max="2" width="82.28515625" style="174" bestFit="1" customWidth="1"/>
    <col min="3" max="5" width="9.140625" style="174"/>
    <col min="6" max="6" width="11.85546875" style="174" bestFit="1" customWidth="1"/>
    <col min="7" max="8" width="9.140625" style="174"/>
    <col min="9" max="9" width="10.28515625" style="174" customWidth="1"/>
    <col min="10" max="10" width="9.140625" style="174"/>
    <col min="11" max="11" width="8.5703125" style="174" bestFit="1" customWidth="1"/>
    <col min="12" max="12" width="9.140625" style="174"/>
    <col min="13" max="13" width="8.42578125" style="174" bestFit="1" customWidth="1"/>
    <col min="14" max="14" width="9.140625" style="174"/>
    <col min="15" max="15" width="11.7109375" style="174" bestFit="1" customWidth="1"/>
    <col min="16" max="16" width="9.140625" style="174"/>
    <col min="17" max="17" width="10.140625" style="174" bestFit="1" customWidth="1"/>
    <col min="18" max="19" width="9.140625" style="174"/>
    <col min="20" max="20" width="105.140625" style="174" bestFit="1" customWidth="1"/>
    <col min="21" max="32" width="9.140625" style="174"/>
    <col min="33" max="33" width="9.7109375" style="174" bestFit="1" customWidth="1"/>
    <col min="34" max="34" width="4.5703125" style="174" bestFit="1" customWidth="1"/>
    <col min="35" max="35" width="9.7109375" style="174" bestFit="1" customWidth="1"/>
    <col min="36" max="16384" width="9.140625" style="174"/>
  </cols>
  <sheetData>
    <row r="1" spans="1:36" x14ac:dyDescent="0.25">
      <c r="A1" s="1"/>
      <c r="B1" s="2"/>
      <c r="C1" s="63"/>
      <c r="D1" s="64"/>
      <c r="E1" s="65"/>
      <c r="F1" s="66" t="e">
        <f>#REF!+#REF!+#REF!</f>
        <v>#REF!</v>
      </c>
      <c r="G1" s="67"/>
      <c r="H1" s="68"/>
      <c r="I1" s="63"/>
      <c r="J1" s="69"/>
      <c r="K1" s="7"/>
      <c r="L1" s="7"/>
      <c r="M1" s="2"/>
      <c r="N1" s="7"/>
      <c r="O1" s="7"/>
      <c r="P1" s="7"/>
      <c r="Q1" s="2"/>
      <c r="R1" s="67"/>
      <c r="S1" s="68"/>
      <c r="T1" s="7"/>
      <c r="U1" s="69"/>
      <c r="V1" s="7"/>
      <c r="W1" s="7"/>
      <c r="X1" s="2"/>
      <c r="Y1" s="7"/>
      <c r="Z1" s="7"/>
      <c r="AA1" s="7"/>
      <c r="AB1" s="2"/>
      <c r="AC1" s="70"/>
      <c r="AD1" s="68"/>
      <c r="AE1" s="7"/>
      <c r="AF1" s="69"/>
      <c r="AG1" s="7"/>
      <c r="AH1" s="7"/>
      <c r="AI1" s="2"/>
      <c r="AJ1" s="7"/>
    </row>
    <row r="2" spans="1:36" x14ac:dyDescent="0.25">
      <c r="A2" s="1"/>
      <c r="B2" s="2"/>
      <c r="C2" s="63"/>
      <c r="D2" s="64"/>
      <c r="E2" s="65"/>
      <c r="F2" s="66">
        <v>11328802</v>
      </c>
      <c r="G2" s="67"/>
      <c r="H2" s="68"/>
      <c r="I2" s="63"/>
      <c r="J2" s="69"/>
      <c r="K2" s="7"/>
      <c r="L2" s="7"/>
      <c r="M2" s="2"/>
      <c r="N2" s="7"/>
      <c r="O2" s="178">
        <v>42314</v>
      </c>
      <c r="P2" s="7"/>
      <c r="Q2" s="178">
        <f>O2</f>
        <v>42314</v>
      </c>
      <c r="R2" s="67"/>
      <c r="S2" s="68"/>
      <c r="T2" s="7"/>
      <c r="U2" s="69"/>
      <c r="V2" s="7"/>
      <c r="W2" s="7"/>
      <c r="X2" s="2"/>
      <c r="Y2" s="7"/>
      <c r="Z2" s="7"/>
      <c r="AA2" s="7"/>
      <c r="AB2" s="2"/>
      <c r="AC2" s="70"/>
      <c r="AD2" s="68"/>
      <c r="AE2" s="7"/>
      <c r="AF2" s="69"/>
      <c r="AG2" s="178">
        <v>42369</v>
      </c>
      <c r="AH2" s="7"/>
      <c r="AI2" s="178">
        <v>42369</v>
      </c>
      <c r="AJ2" s="7"/>
    </row>
    <row r="3" spans="1:36" x14ac:dyDescent="0.25">
      <c r="A3" s="1"/>
      <c r="B3" s="46"/>
      <c r="C3" s="54"/>
      <c r="D3" s="71"/>
      <c r="E3" s="72"/>
      <c r="F3" s="72" t="e">
        <f>F1-F2</f>
        <v>#REF!</v>
      </c>
      <c r="G3" s="55"/>
      <c r="H3" s="56"/>
      <c r="I3" s="109" t="s">
        <v>188</v>
      </c>
      <c r="J3" s="69"/>
      <c r="K3" s="7"/>
      <c r="L3" s="7"/>
      <c r="M3" s="2"/>
      <c r="N3" s="7"/>
      <c r="O3" s="109" t="s">
        <v>188</v>
      </c>
      <c r="P3" s="7"/>
      <c r="Q3" s="159" t="s">
        <v>256</v>
      </c>
      <c r="R3" s="67"/>
      <c r="S3" s="68"/>
      <c r="T3" s="7"/>
      <c r="U3" s="69"/>
      <c r="V3" s="7"/>
      <c r="W3" s="7"/>
      <c r="X3" s="2"/>
      <c r="Y3" s="7"/>
      <c r="Z3" s="7"/>
      <c r="AA3" s="7"/>
      <c r="AB3" s="2"/>
      <c r="AC3" s="70"/>
      <c r="AD3" s="68"/>
      <c r="AE3" s="7"/>
      <c r="AF3" s="69"/>
      <c r="AG3" s="109" t="s">
        <v>188</v>
      </c>
      <c r="AH3" s="7"/>
      <c r="AI3" s="109" t="s">
        <v>256</v>
      </c>
      <c r="AJ3" s="7"/>
    </row>
    <row r="4" spans="1:36" x14ac:dyDescent="0.25">
      <c r="A4" s="1"/>
      <c r="B4" s="2"/>
      <c r="C4" s="63"/>
      <c r="D4" s="64"/>
      <c r="E4" s="65"/>
      <c r="F4" s="66"/>
      <c r="G4" s="67"/>
      <c r="H4" s="68"/>
      <c r="I4" s="173" t="s">
        <v>189</v>
      </c>
      <c r="J4" s="69"/>
      <c r="K4" s="7"/>
      <c r="L4" s="7"/>
      <c r="M4" s="2" t="s">
        <v>257</v>
      </c>
      <c r="N4" s="7"/>
      <c r="O4" s="173" t="s">
        <v>189</v>
      </c>
      <c r="P4" s="7"/>
      <c r="Q4" s="159" t="s">
        <v>189</v>
      </c>
      <c r="R4" s="67"/>
      <c r="S4" s="68"/>
      <c r="T4" s="179" t="s">
        <v>258</v>
      </c>
      <c r="U4" s="69"/>
      <c r="V4" s="7"/>
      <c r="W4" s="7"/>
      <c r="X4" s="2"/>
      <c r="Y4" s="7"/>
      <c r="Z4" s="7"/>
      <c r="AA4" s="7"/>
      <c r="AB4" s="2"/>
      <c r="AC4" s="70"/>
      <c r="AD4" s="68"/>
      <c r="AE4" s="7"/>
      <c r="AF4" s="69"/>
      <c r="AG4" s="173" t="s">
        <v>189</v>
      </c>
      <c r="AH4" s="7"/>
      <c r="AI4" s="173" t="s">
        <v>189</v>
      </c>
      <c r="AJ4" s="7"/>
    </row>
    <row r="5" spans="1:36" x14ac:dyDescent="0.25">
      <c r="A5" s="1"/>
      <c r="B5" s="75" t="s">
        <v>238</v>
      </c>
      <c r="C5" s="63"/>
      <c r="D5" s="64"/>
      <c r="E5" s="65"/>
      <c r="F5" s="180">
        <v>245</v>
      </c>
      <c r="G5" s="67"/>
      <c r="H5" s="68"/>
      <c r="I5" s="141">
        <v>-180.52631578947367</v>
      </c>
      <c r="J5" s="69"/>
      <c r="K5" s="181">
        <f>-I5/F5</f>
        <v>0.73684210526315785</v>
      </c>
      <c r="L5" s="182"/>
      <c r="M5" s="160">
        <f>I5-Q5</f>
        <v>-56.736315789473664</v>
      </c>
      <c r="N5" s="7"/>
      <c r="O5" s="183">
        <v>168</v>
      </c>
      <c r="P5" s="7"/>
      <c r="Q5" s="180">
        <f t="shared" ref="Q5:Q6" si="0">IF(O5="","",ROUND(O5*-K5,2))</f>
        <v>-123.79</v>
      </c>
      <c r="R5" s="67"/>
      <c r="S5" s="68"/>
      <c r="T5" s="184" t="s">
        <v>259</v>
      </c>
      <c r="U5" s="69"/>
      <c r="V5" s="7"/>
      <c r="W5" s="7"/>
      <c r="X5" s="2"/>
      <c r="Y5" s="7"/>
      <c r="Z5" s="7"/>
      <c r="AA5" s="7"/>
      <c r="AB5" s="2"/>
      <c r="AC5" s="70"/>
      <c r="AD5" s="68"/>
      <c r="AE5" s="7"/>
      <c r="AF5" s="69"/>
      <c r="AG5" s="185">
        <f>0.092*2000</f>
        <v>184</v>
      </c>
      <c r="AH5" s="7" t="s">
        <v>260</v>
      </c>
      <c r="AI5" s="180">
        <f>AG5*K5</f>
        <v>135.57894736842104</v>
      </c>
      <c r="AJ5" s="7"/>
    </row>
    <row r="6" spans="1:36" x14ac:dyDescent="0.25">
      <c r="A6" s="1"/>
      <c r="B6" s="75" t="s">
        <v>239</v>
      </c>
      <c r="C6" s="63"/>
      <c r="D6" s="64"/>
      <c r="E6" s="65"/>
      <c r="F6" s="180">
        <v>0.69</v>
      </c>
      <c r="G6" s="67"/>
      <c r="H6" s="68"/>
      <c r="I6" s="165">
        <v>-0.39039473684210513</v>
      </c>
      <c r="J6" s="69"/>
      <c r="K6" s="181">
        <f t="shared" ref="K6:K14" si="1">-I6/F6</f>
        <v>0.5657894736842104</v>
      </c>
      <c r="L6" s="182"/>
      <c r="M6" s="160">
        <f t="shared" ref="M6:M14" si="2">I6-Q6</f>
        <v>-1.0394736842105123E-2</v>
      </c>
      <c r="N6" s="7"/>
      <c r="O6" s="183">
        <v>0.67</v>
      </c>
      <c r="P6" s="7"/>
      <c r="Q6" s="180">
        <f t="shared" si="0"/>
        <v>-0.38</v>
      </c>
      <c r="R6" s="67"/>
      <c r="S6" s="68"/>
      <c r="T6" s="184" t="s">
        <v>261</v>
      </c>
      <c r="U6" s="69"/>
      <c r="V6" s="7"/>
      <c r="W6" s="7"/>
      <c r="X6" s="2"/>
      <c r="Y6" s="7"/>
      <c r="Z6" s="7"/>
      <c r="AA6" s="7"/>
      <c r="AB6" s="2"/>
      <c r="AC6" s="70"/>
      <c r="AD6" s="68"/>
      <c r="AE6" s="7"/>
      <c r="AF6" s="69"/>
      <c r="AG6" s="183">
        <v>0.68289999999999995</v>
      </c>
      <c r="AH6" s="7"/>
      <c r="AI6" s="180">
        <f t="shared" ref="AI6:AI14" si="3">AG6*K6</f>
        <v>0.38637763157894728</v>
      </c>
      <c r="AJ6" s="7"/>
    </row>
    <row r="7" spans="1:36" x14ac:dyDescent="0.25">
      <c r="A7" s="1"/>
      <c r="B7" s="75" t="s">
        <v>240</v>
      </c>
      <c r="C7" s="63"/>
      <c r="D7" s="64"/>
      <c r="E7" s="65"/>
      <c r="F7" s="180">
        <v>2.27</v>
      </c>
      <c r="G7" s="67"/>
      <c r="H7" s="68"/>
      <c r="I7" s="165">
        <v>-0.37018461538461545</v>
      </c>
      <c r="J7" s="69"/>
      <c r="K7" s="181">
        <f t="shared" si="1"/>
        <v>0.16307692307692309</v>
      </c>
      <c r="L7" s="182"/>
      <c r="M7" s="160">
        <f t="shared" si="2"/>
        <v>-1.8461538461544968E-4</v>
      </c>
      <c r="N7" s="7"/>
      <c r="O7" s="183">
        <v>2.29</v>
      </c>
      <c r="P7" s="7"/>
      <c r="Q7" s="180">
        <f>IF(O7="","",ROUND(O7*-K7,2))</f>
        <v>-0.37</v>
      </c>
      <c r="R7" s="67"/>
      <c r="S7" s="68"/>
      <c r="T7" s="184" t="s">
        <v>262</v>
      </c>
      <c r="U7" s="69"/>
      <c r="V7" s="7"/>
      <c r="W7" s="7"/>
      <c r="X7" s="2"/>
      <c r="Y7" s="7"/>
      <c r="Z7" s="7"/>
      <c r="AA7" s="7"/>
      <c r="AB7" s="2"/>
      <c r="AC7" s="70"/>
      <c r="AD7" s="68"/>
      <c r="AE7" s="7"/>
      <c r="AF7" s="69"/>
      <c r="AG7" s="183">
        <v>2.2759</v>
      </c>
      <c r="AH7" s="7" t="s">
        <v>260</v>
      </c>
      <c r="AI7" s="180">
        <f t="shared" si="3"/>
        <v>0.37114676923076928</v>
      </c>
      <c r="AJ7" s="7"/>
    </row>
    <row r="8" spans="1:36" x14ac:dyDescent="0.25">
      <c r="A8" s="1"/>
      <c r="B8" s="44" t="s">
        <v>241</v>
      </c>
      <c r="C8" s="63"/>
      <c r="D8" s="64"/>
      <c r="E8" s="65"/>
      <c r="F8" s="180">
        <v>0.5</v>
      </c>
      <c r="G8" s="67"/>
      <c r="H8" s="68"/>
      <c r="I8" s="165">
        <v>-0.18394000674081565</v>
      </c>
      <c r="J8" s="69"/>
      <c r="K8" s="181">
        <f t="shared" si="1"/>
        <v>0.3678800134816313</v>
      </c>
      <c r="L8" s="182"/>
      <c r="M8" s="160">
        <f t="shared" si="2"/>
        <v>-2.3940006740815645E-2</v>
      </c>
      <c r="N8" s="7"/>
      <c r="O8" s="183">
        <v>0.44</v>
      </c>
      <c r="P8" s="7"/>
      <c r="Q8" s="180">
        <f t="shared" ref="Q8:Q14" si="4">IF(O8="","",ROUND(O8*-K8,2))</f>
        <v>-0.16</v>
      </c>
      <c r="R8" s="67"/>
      <c r="S8" s="68"/>
      <c r="T8" s="184" t="s">
        <v>263</v>
      </c>
      <c r="U8" s="69"/>
      <c r="V8" s="7"/>
      <c r="W8" s="7"/>
      <c r="X8" s="2"/>
      <c r="Y8" s="7"/>
      <c r="Z8" s="7"/>
      <c r="AA8" s="7"/>
      <c r="AB8" s="2"/>
      <c r="AC8" s="70"/>
      <c r="AD8" s="68"/>
      <c r="AE8" s="7"/>
      <c r="AF8" s="69"/>
      <c r="AG8" s="185"/>
      <c r="AH8" s="7"/>
      <c r="AI8" s="180">
        <f t="shared" si="3"/>
        <v>0</v>
      </c>
      <c r="AJ8" s="7"/>
    </row>
    <row r="9" spans="1:36" x14ac:dyDescent="0.25">
      <c r="A9" s="1"/>
      <c r="B9" s="44" t="s">
        <v>242</v>
      </c>
      <c r="C9" s="63"/>
      <c r="D9" s="64"/>
      <c r="E9" s="65"/>
      <c r="F9" s="180">
        <v>0.5</v>
      </c>
      <c r="G9" s="67"/>
      <c r="H9" s="68"/>
      <c r="I9" s="112">
        <v>-0.22371081900910006</v>
      </c>
      <c r="J9" s="69"/>
      <c r="K9" s="181">
        <f t="shared" si="1"/>
        <v>0.44742163801820012</v>
      </c>
      <c r="L9" s="182"/>
      <c r="M9" s="160">
        <f t="shared" si="2"/>
        <v>-2.3710819009100048E-2</v>
      </c>
      <c r="N9" s="7"/>
      <c r="O9" s="183">
        <v>0.44</v>
      </c>
      <c r="P9" s="7"/>
      <c r="Q9" s="180">
        <f t="shared" si="4"/>
        <v>-0.2</v>
      </c>
      <c r="R9" s="67"/>
      <c r="S9" s="68"/>
      <c r="T9" s="184" t="s">
        <v>263</v>
      </c>
      <c r="U9" s="69"/>
      <c r="V9" s="7"/>
      <c r="W9" s="7"/>
      <c r="X9" s="2"/>
      <c r="Y9" s="7"/>
      <c r="Z9" s="7"/>
      <c r="AA9" s="7"/>
      <c r="AB9" s="2"/>
      <c r="AC9" s="70"/>
      <c r="AD9" s="68"/>
      <c r="AE9" s="7"/>
      <c r="AF9" s="69"/>
      <c r="AG9" s="185"/>
      <c r="AH9" s="7"/>
      <c r="AI9" s="180">
        <f t="shared" si="3"/>
        <v>0</v>
      </c>
      <c r="AJ9" s="7"/>
    </row>
    <row r="10" spans="1:36" x14ac:dyDescent="0.25">
      <c r="A10" s="1"/>
      <c r="B10" s="44" t="s">
        <v>243</v>
      </c>
      <c r="C10" s="63"/>
      <c r="D10" s="64"/>
      <c r="E10" s="65"/>
      <c r="F10" s="180"/>
      <c r="G10" s="67"/>
      <c r="H10" s="68"/>
      <c r="I10" s="72">
        <v>-460.98461538461538</v>
      </c>
      <c r="J10" s="69"/>
      <c r="K10" s="181"/>
      <c r="L10" s="182"/>
      <c r="M10" s="160"/>
      <c r="N10" s="7"/>
      <c r="O10" s="183"/>
      <c r="P10" s="7"/>
      <c r="Q10" s="180" t="str">
        <f t="shared" si="4"/>
        <v/>
      </c>
      <c r="R10" s="67"/>
      <c r="S10" s="68"/>
      <c r="T10" s="7"/>
      <c r="U10" s="69"/>
      <c r="V10" s="7"/>
      <c r="W10" s="7"/>
      <c r="X10" s="2"/>
      <c r="Y10" s="7"/>
      <c r="Z10" s="7"/>
      <c r="AA10" s="7"/>
      <c r="AB10" s="2"/>
      <c r="AC10" s="70"/>
      <c r="AD10" s="68"/>
      <c r="AE10" s="7"/>
      <c r="AF10" s="69"/>
      <c r="AG10" s="185"/>
      <c r="AH10" s="7"/>
      <c r="AI10" s="180">
        <f t="shared" si="3"/>
        <v>0</v>
      </c>
      <c r="AJ10" s="7"/>
    </row>
    <row r="11" spans="1:36" x14ac:dyDescent="0.25">
      <c r="A11" s="1"/>
      <c r="B11" s="44" t="s">
        <v>244</v>
      </c>
      <c r="C11" s="63"/>
      <c r="D11" s="64"/>
      <c r="E11" s="65"/>
      <c r="F11" s="180">
        <v>0.55000000000000004</v>
      </c>
      <c r="G11" s="67"/>
      <c r="H11" s="68"/>
      <c r="I11" s="112">
        <v>-0.36</v>
      </c>
      <c r="J11" s="69"/>
      <c r="K11" s="181">
        <f t="shared" si="1"/>
        <v>0.65454545454545443</v>
      </c>
      <c r="L11" s="182"/>
      <c r="M11" s="160">
        <f t="shared" si="2"/>
        <v>-0.10999999999999999</v>
      </c>
      <c r="N11" s="7"/>
      <c r="O11" s="183">
        <v>0.375</v>
      </c>
      <c r="P11" s="7"/>
      <c r="Q11" s="180">
        <f t="shared" si="4"/>
        <v>-0.25</v>
      </c>
      <c r="R11" s="67"/>
      <c r="S11" s="68"/>
      <c r="T11" s="184" t="s">
        <v>264</v>
      </c>
      <c r="U11" s="69"/>
      <c r="V11" s="7"/>
      <c r="W11" s="7"/>
      <c r="X11" s="2"/>
      <c r="Y11" s="7"/>
      <c r="Z11" s="7"/>
      <c r="AA11" s="7"/>
      <c r="AB11" s="2"/>
      <c r="AC11" s="70"/>
      <c r="AD11" s="68"/>
      <c r="AE11" s="7"/>
      <c r="AF11" s="69"/>
      <c r="AG11" s="185"/>
      <c r="AH11" s="7"/>
      <c r="AI11" s="180">
        <f t="shared" si="3"/>
        <v>0</v>
      </c>
      <c r="AJ11" s="7"/>
    </row>
    <row r="12" spans="1:36" x14ac:dyDescent="0.25">
      <c r="A12" s="1"/>
      <c r="B12" s="44" t="s">
        <v>245</v>
      </c>
      <c r="C12" s="63"/>
      <c r="D12" s="64"/>
      <c r="E12" s="65"/>
      <c r="F12" s="180">
        <v>1.66</v>
      </c>
      <c r="G12" s="67"/>
      <c r="H12" s="68"/>
      <c r="I12" s="112">
        <v>-1.7512999999999999</v>
      </c>
      <c r="J12" s="69"/>
      <c r="K12" s="181">
        <f t="shared" si="1"/>
        <v>1.0549999999999999</v>
      </c>
      <c r="L12" s="182"/>
      <c r="M12" s="160">
        <f t="shared" si="2"/>
        <v>-5.1299999999999901E-2</v>
      </c>
      <c r="N12" s="7"/>
      <c r="O12" s="183">
        <v>1.61</v>
      </c>
      <c r="P12" s="7"/>
      <c r="Q12" s="180">
        <f t="shared" si="4"/>
        <v>-1.7</v>
      </c>
      <c r="R12" s="67"/>
      <c r="S12" s="68"/>
      <c r="T12" s="184" t="s">
        <v>265</v>
      </c>
      <c r="U12" s="69"/>
      <c r="V12" s="7"/>
      <c r="W12" s="7"/>
      <c r="X12" s="2"/>
      <c r="Y12" s="7"/>
      <c r="Z12" s="7"/>
      <c r="AA12" s="7"/>
      <c r="AB12" s="2"/>
      <c r="AC12" s="70"/>
      <c r="AD12" s="68"/>
      <c r="AE12" s="7"/>
      <c r="AF12" s="69"/>
      <c r="AG12" s="185"/>
      <c r="AH12" s="7"/>
      <c r="AI12" s="180">
        <f t="shared" si="3"/>
        <v>0</v>
      </c>
      <c r="AJ12" s="7"/>
    </row>
    <row r="13" spans="1:36" x14ac:dyDescent="0.25">
      <c r="A13" s="1"/>
      <c r="B13" s="44" t="s">
        <v>246</v>
      </c>
      <c r="C13" s="63"/>
      <c r="D13" s="64"/>
      <c r="E13" s="65"/>
      <c r="F13" s="180">
        <v>2.0699999999999998</v>
      </c>
      <c r="G13" s="67"/>
      <c r="H13" s="68"/>
      <c r="I13" s="165">
        <v>-1.5825</v>
      </c>
      <c r="J13" s="69"/>
      <c r="K13" s="181">
        <f t="shared" si="1"/>
        <v>0.76449275362318847</v>
      </c>
      <c r="L13" s="182"/>
      <c r="M13" s="160">
        <f t="shared" si="2"/>
        <v>-6.25E-2</v>
      </c>
      <c r="N13" s="7"/>
      <c r="O13" s="183">
        <v>1.99</v>
      </c>
      <c r="P13" s="7"/>
      <c r="Q13" s="180">
        <f t="shared" si="4"/>
        <v>-1.52</v>
      </c>
      <c r="R13" s="67"/>
      <c r="S13" s="68"/>
      <c r="T13" s="184" t="s">
        <v>266</v>
      </c>
      <c r="U13" s="69"/>
      <c r="V13" s="7"/>
      <c r="W13" s="7"/>
      <c r="X13" s="2"/>
      <c r="Y13" s="7"/>
      <c r="Z13" s="7"/>
      <c r="AA13" s="7"/>
      <c r="AB13" s="2"/>
      <c r="AC13" s="70"/>
      <c r="AD13" s="68"/>
      <c r="AE13" s="7"/>
      <c r="AF13" s="69"/>
      <c r="AG13" s="185"/>
      <c r="AH13" s="7"/>
      <c r="AI13" s="180">
        <f t="shared" si="3"/>
        <v>0</v>
      </c>
      <c r="AJ13" s="7"/>
    </row>
    <row r="14" spans="1:36" x14ac:dyDescent="0.25">
      <c r="A14" s="1"/>
      <c r="B14" s="44" t="s">
        <v>247</v>
      </c>
      <c r="C14" s="63"/>
      <c r="D14" s="64"/>
      <c r="E14" s="65"/>
      <c r="F14" s="180">
        <v>0.5</v>
      </c>
      <c r="G14" s="67"/>
      <c r="H14" s="68"/>
      <c r="I14" s="112">
        <v>-0.27325581395348836</v>
      </c>
      <c r="J14" s="69"/>
      <c r="K14" s="181">
        <f t="shared" si="1"/>
        <v>0.54651162790697672</v>
      </c>
      <c r="L14" s="182"/>
      <c r="M14" s="160">
        <f t="shared" si="2"/>
        <v>-3.3255813953488367E-2</v>
      </c>
      <c r="N14" s="7"/>
      <c r="O14" s="183">
        <v>0.44</v>
      </c>
      <c r="P14" s="7"/>
      <c r="Q14" s="180">
        <f t="shared" si="4"/>
        <v>-0.24</v>
      </c>
      <c r="R14" s="67"/>
      <c r="S14" s="68"/>
      <c r="T14" s="184" t="s">
        <v>263</v>
      </c>
      <c r="U14" s="69"/>
      <c r="V14" s="7"/>
      <c r="W14" s="7"/>
      <c r="X14" s="2"/>
      <c r="Y14" s="7"/>
      <c r="Z14" s="7"/>
      <c r="AA14" s="7"/>
      <c r="AB14" s="2"/>
      <c r="AC14" s="70"/>
      <c r="AD14" s="68"/>
      <c r="AE14" s="7"/>
      <c r="AF14" s="69"/>
      <c r="AG14" s="185"/>
      <c r="AH14" s="7"/>
      <c r="AI14" s="180">
        <f t="shared" si="3"/>
        <v>0</v>
      </c>
      <c r="AJ14" s="7"/>
    </row>
    <row r="15" spans="1:36" x14ac:dyDescent="0.25">
      <c r="A15" s="1"/>
      <c r="B15" s="2"/>
      <c r="C15" s="63"/>
      <c r="D15" s="64"/>
      <c r="E15" s="65"/>
      <c r="F15" s="66"/>
      <c r="G15" s="67"/>
      <c r="H15" s="68"/>
      <c r="I15" s="63"/>
      <c r="J15" s="69"/>
      <c r="K15" s="7"/>
      <c r="L15" s="7"/>
      <c r="M15" s="2"/>
      <c r="N15" s="7"/>
      <c r="O15" s="7"/>
      <c r="P15" s="7"/>
      <c r="Q15" s="2"/>
      <c r="R15" s="67"/>
      <c r="S15" s="68"/>
      <c r="T15" s="7"/>
      <c r="U15" s="69"/>
      <c r="V15" s="7"/>
      <c r="W15" s="7"/>
      <c r="X15" s="2"/>
      <c r="Y15" s="7"/>
      <c r="Z15" s="7"/>
      <c r="AA15" s="7"/>
      <c r="AB15" s="2"/>
      <c r="AC15" s="70"/>
      <c r="AD15" s="68"/>
      <c r="AE15" s="7"/>
      <c r="AF15" s="69"/>
      <c r="AG15" s="7"/>
      <c r="AH15" s="7"/>
      <c r="AI15" s="2"/>
      <c r="AJ15" s="7"/>
    </row>
    <row r="16" spans="1:36" x14ac:dyDescent="0.25">
      <c r="A16" s="1"/>
      <c r="B16" s="2"/>
      <c r="C16" s="63"/>
      <c r="D16" s="64"/>
      <c r="E16" s="65"/>
      <c r="F16" s="66"/>
      <c r="G16" s="67"/>
      <c r="H16" s="68"/>
      <c r="I16" s="63"/>
      <c r="J16" s="69"/>
      <c r="K16" s="7"/>
      <c r="L16" s="7"/>
      <c r="M16" s="2"/>
      <c r="N16" s="7"/>
      <c r="O16" s="7"/>
      <c r="P16" s="7"/>
      <c r="Q16" s="2"/>
      <c r="R16" s="67"/>
      <c r="S16" s="68"/>
      <c r="T16" s="7"/>
      <c r="U16" s="69"/>
      <c r="V16" s="7"/>
      <c r="W16" s="7"/>
      <c r="X16" s="2"/>
      <c r="Y16" s="7"/>
      <c r="Z16" s="7"/>
      <c r="AA16" s="7"/>
      <c r="AB16" s="2"/>
      <c r="AC16" s="70"/>
      <c r="AD16" s="68"/>
      <c r="AE16" s="7"/>
      <c r="AF16" s="69"/>
      <c r="AG16" s="7"/>
      <c r="AH16" s="7"/>
      <c r="AI16" s="2"/>
      <c r="AJ16" s="7"/>
    </row>
    <row r="17" spans="1:36" x14ac:dyDescent="0.25">
      <c r="A17" s="1"/>
      <c r="B17" s="2"/>
      <c r="C17" s="63"/>
      <c r="D17" s="64"/>
      <c r="E17" s="65"/>
      <c r="F17" s="66"/>
      <c r="G17" s="67"/>
      <c r="H17" s="68"/>
      <c r="I17" s="63"/>
      <c r="J17" s="69"/>
      <c r="K17" s="7"/>
      <c r="L17" s="7"/>
      <c r="M17" s="2"/>
      <c r="N17" s="7"/>
      <c r="O17" s="7"/>
      <c r="P17" s="7"/>
      <c r="Q17" s="2"/>
      <c r="R17" s="67"/>
      <c r="S17" s="68"/>
      <c r="T17" s="7"/>
      <c r="U17" s="69"/>
      <c r="V17" s="7"/>
      <c r="W17" s="7"/>
      <c r="X17" s="2"/>
      <c r="Y17" s="7"/>
      <c r="Z17" s="7"/>
      <c r="AA17" s="7"/>
      <c r="AB17" s="2"/>
      <c r="AC17" s="70"/>
      <c r="AD17" s="68"/>
      <c r="AE17" s="7"/>
      <c r="AF17" s="69"/>
      <c r="AG17" s="7"/>
      <c r="AH17" s="7"/>
      <c r="AI17" s="2"/>
      <c r="AJ17" s="7"/>
    </row>
    <row r="18" spans="1:36" x14ac:dyDescent="0.25">
      <c r="A18" s="1"/>
      <c r="B18" s="2"/>
      <c r="C18" s="63"/>
      <c r="D18" s="64"/>
      <c r="E18" s="65"/>
      <c r="F18" s="178">
        <v>42314</v>
      </c>
      <c r="G18" s="67"/>
      <c r="H18" s="68"/>
      <c r="I18" s="178">
        <v>42314</v>
      </c>
      <c r="J18" s="69"/>
      <c r="K18" s="7"/>
      <c r="L18" s="7"/>
      <c r="M18" s="2"/>
      <c r="N18" s="7"/>
      <c r="O18" s="7"/>
      <c r="P18" s="7"/>
      <c r="Q18" s="2"/>
      <c r="R18" s="67"/>
      <c r="S18" s="68"/>
      <c r="T18" s="7"/>
      <c r="U18" s="69"/>
      <c r="V18" s="7"/>
      <c r="W18" s="7"/>
      <c r="X18" s="2"/>
      <c r="Y18" s="7"/>
      <c r="Z18" s="7"/>
      <c r="AA18" s="7"/>
      <c r="AB18" s="2"/>
      <c r="AC18" s="70"/>
      <c r="AD18" s="68"/>
      <c r="AE18" s="7"/>
      <c r="AF18" s="69"/>
      <c r="AG18" s="7"/>
      <c r="AH18" s="7"/>
      <c r="AI18" s="2"/>
      <c r="AJ18" s="7"/>
    </row>
    <row r="19" spans="1:36" x14ac:dyDescent="0.25">
      <c r="A19" s="1"/>
      <c r="B19" s="2"/>
      <c r="C19" s="63"/>
      <c r="D19" s="64"/>
      <c r="E19" s="65"/>
      <c r="F19" s="109" t="s">
        <v>188</v>
      </c>
      <c r="G19" s="67"/>
      <c r="H19" s="68"/>
      <c r="I19" s="159" t="s">
        <v>256</v>
      </c>
      <c r="J19" s="69"/>
      <c r="K19" s="7"/>
      <c r="L19" s="7"/>
      <c r="M19" s="2"/>
      <c r="N19" s="7"/>
      <c r="O19" s="7"/>
      <c r="P19" s="7"/>
      <c r="Q19" s="2"/>
      <c r="R19" s="67"/>
      <c r="S19" s="68"/>
      <c r="T19" s="7"/>
      <c r="U19" s="69"/>
      <c r="V19" s="7"/>
      <c r="W19" s="7"/>
      <c r="X19" s="2"/>
      <c r="Y19" s="7"/>
      <c r="Z19" s="7"/>
      <c r="AA19" s="7"/>
      <c r="AB19" s="2"/>
      <c r="AC19" s="70"/>
      <c r="AD19" s="68"/>
      <c r="AE19" s="7"/>
      <c r="AF19" s="69"/>
      <c r="AG19" s="7"/>
      <c r="AH19" s="7"/>
      <c r="AI19" s="2"/>
      <c r="AJ19" s="7"/>
    </row>
    <row r="20" spans="1:36" x14ac:dyDescent="0.25">
      <c r="A20" s="1"/>
      <c r="B20" s="2"/>
      <c r="C20" s="63"/>
      <c r="D20" s="64"/>
      <c r="E20" s="65"/>
      <c r="F20" s="173" t="s">
        <v>189</v>
      </c>
      <c r="G20" s="67"/>
      <c r="H20" s="68"/>
      <c r="I20" s="159" t="s">
        <v>189</v>
      </c>
      <c r="J20" s="69"/>
      <c r="K20" s="7"/>
      <c r="L20" s="7"/>
      <c r="M20" s="2"/>
      <c r="N20" s="7"/>
      <c r="O20" s="7"/>
      <c r="P20" s="7"/>
      <c r="Q20" s="2"/>
      <c r="R20" s="67"/>
      <c r="S20" s="68"/>
      <c r="T20" s="7"/>
      <c r="U20" s="69"/>
      <c r="V20" s="7"/>
      <c r="W20" s="7"/>
      <c r="X20" s="2"/>
      <c r="Y20" s="7"/>
      <c r="Z20" s="7"/>
      <c r="AA20" s="7"/>
      <c r="AB20" s="2"/>
      <c r="AC20" s="70"/>
      <c r="AD20" s="68"/>
      <c r="AE20" s="7"/>
      <c r="AF20" s="69"/>
      <c r="AG20" s="7"/>
      <c r="AH20" s="7"/>
      <c r="AI20" s="2"/>
      <c r="AJ20" s="7"/>
    </row>
    <row r="21" spans="1:36" x14ac:dyDescent="0.25">
      <c r="A21" s="1"/>
      <c r="B21" s="75" t="s">
        <v>267</v>
      </c>
      <c r="C21" s="63"/>
      <c r="D21" s="64"/>
      <c r="E21" s="65"/>
      <c r="F21" s="183">
        <v>168</v>
      </c>
      <c r="G21" s="67"/>
      <c r="H21" s="68"/>
      <c r="I21" s="141">
        <v>-123.79</v>
      </c>
      <c r="J21" s="69"/>
      <c r="K21" s="7"/>
      <c r="L21" s="7"/>
      <c r="M21" s="2"/>
      <c r="N21" s="7"/>
      <c r="O21" s="7"/>
      <c r="P21" s="7"/>
      <c r="Q21" s="2"/>
      <c r="R21" s="67"/>
      <c r="S21" s="68"/>
      <c r="T21" s="7"/>
      <c r="U21" s="69"/>
      <c r="V21" s="7"/>
      <c r="W21" s="7"/>
      <c r="X21" s="2"/>
      <c r="Y21" s="7"/>
      <c r="Z21" s="7"/>
      <c r="AA21" s="7"/>
      <c r="AB21" s="2"/>
      <c r="AC21" s="70"/>
      <c r="AD21" s="68"/>
      <c r="AE21" s="7"/>
      <c r="AF21" s="69"/>
      <c r="AG21" s="7"/>
      <c r="AH21" s="7"/>
      <c r="AI21" s="2"/>
      <c r="AJ21" s="7"/>
    </row>
    <row r="22" spans="1:36" x14ac:dyDescent="0.25">
      <c r="A22" s="1"/>
      <c r="B22" s="75" t="s">
        <v>268</v>
      </c>
      <c r="C22" s="63"/>
      <c r="D22" s="64"/>
      <c r="E22" s="65"/>
      <c r="F22" s="183">
        <v>0.67</v>
      </c>
      <c r="G22" s="67"/>
      <c r="H22" s="68"/>
      <c r="I22" s="165">
        <v>-0.38</v>
      </c>
      <c r="J22" s="69"/>
      <c r="K22" s="7"/>
      <c r="L22" s="7"/>
      <c r="M22" s="2"/>
      <c r="N22" s="7"/>
      <c r="O22" s="7"/>
      <c r="P22" s="7"/>
      <c r="Q22" s="2"/>
      <c r="R22" s="67"/>
      <c r="S22" s="68"/>
      <c r="T22" s="7"/>
      <c r="U22" s="69"/>
      <c r="V22" s="7"/>
      <c r="W22" s="7"/>
      <c r="X22" s="2"/>
      <c r="Y22" s="7"/>
      <c r="Z22" s="7"/>
      <c r="AA22" s="7"/>
      <c r="AB22" s="2"/>
      <c r="AC22" s="70"/>
      <c r="AD22" s="68"/>
      <c r="AE22" s="7"/>
      <c r="AF22" s="69"/>
      <c r="AG22" s="7"/>
      <c r="AH22" s="7"/>
      <c r="AI22" s="2"/>
      <c r="AJ22" s="7"/>
    </row>
    <row r="23" spans="1:36" x14ac:dyDescent="0.25">
      <c r="A23" s="1"/>
      <c r="B23" s="75" t="s">
        <v>269</v>
      </c>
      <c r="C23" s="63"/>
      <c r="D23" s="64"/>
      <c r="E23" s="65"/>
      <c r="F23" s="183">
        <v>2.29</v>
      </c>
      <c r="G23" s="67"/>
      <c r="H23" s="68"/>
      <c r="I23" s="165">
        <v>-0.37</v>
      </c>
      <c r="J23" s="69"/>
      <c r="K23" s="7"/>
      <c r="L23" s="7"/>
      <c r="M23" s="2"/>
      <c r="N23" s="7"/>
      <c r="O23" s="7"/>
      <c r="P23" s="7"/>
      <c r="Q23" s="2"/>
      <c r="R23" s="67"/>
      <c r="S23" s="68"/>
      <c r="T23" s="7"/>
      <c r="U23" s="69"/>
      <c r="V23" s="7"/>
      <c r="W23" s="7"/>
      <c r="X23" s="2"/>
      <c r="Y23" s="7"/>
      <c r="Z23" s="7"/>
      <c r="AA23" s="7"/>
      <c r="AB23" s="2"/>
      <c r="AC23" s="70"/>
      <c r="AD23" s="68"/>
      <c r="AE23" s="7"/>
      <c r="AF23" s="69"/>
      <c r="AG23" s="7"/>
      <c r="AH23" s="7"/>
      <c r="AI23" s="2"/>
      <c r="AJ23" s="7"/>
    </row>
    <row r="24" spans="1:36" x14ac:dyDescent="0.25">
      <c r="A24" s="1"/>
      <c r="B24" s="44" t="s">
        <v>270</v>
      </c>
      <c r="C24" s="63"/>
      <c r="D24" s="64"/>
      <c r="E24" s="65"/>
      <c r="F24" s="183">
        <v>0.44</v>
      </c>
      <c r="G24" s="67"/>
      <c r="H24" s="68"/>
      <c r="I24" s="165">
        <v>-0.16</v>
      </c>
      <c r="J24" s="69"/>
      <c r="K24" s="7"/>
      <c r="L24" s="7"/>
      <c r="M24" s="2"/>
      <c r="N24" s="7"/>
      <c r="O24" s="7"/>
      <c r="P24" s="7"/>
      <c r="Q24" s="2"/>
      <c r="R24" s="67"/>
      <c r="S24" s="68"/>
      <c r="T24" s="7"/>
      <c r="U24" s="69"/>
      <c r="V24" s="7"/>
      <c r="W24" s="7"/>
      <c r="X24" s="2"/>
      <c r="Y24" s="7"/>
      <c r="Z24" s="7"/>
      <c r="AA24" s="7"/>
      <c r="AB24" s="2"/>
      <c r="AC24" s="70"/>
      <c r="AD24" s="68"/>
      <c r="AE24" s="7"/>
      <c r="AF24" s="69"/>
      <c r="AG24" s="7"/>
      <c r="AH24" s="7"/>
      <c r="AI24" s="2"/>
      <c r="AJ24" s="7"/>
    </row>
    <row r="25" spans="1:36" x14ac:dyDescent="0.25">
      <c r="A25" s="1"/>
      <c r="B25" s="44" t="s">
        <v>271</v>
      </c>
      <c r="C25" s="63"/>
      <c r="D25" s="64"/>
      <c r="E25" s="65"/>
      <c r="F25" s="183">
        <v>0.44</v>
      </c>
      <c r="G25" s="67"/>
      <c r="H25" s="68"/>
      <c r="I25" s="112">
        <v>-0.2</v>
      </c>
      <c r="J25" s="69"/>
      <c r="K25" s="7"/>
      <c r="L25" s="7"/>
      <c r="M25" s="2"/>
      <c r="N25" s="7"/>
      <c r="O25" s="7"/>
      <c r="P25" s="7"/>
      <c r="Q25" s="2"/>
      <c r="R25" s="67"/>
      <c r="S25" s="68"/>
      <c r="T25" s="7"/>
      <c r="U25" s="69"/>
      <c r="V25" s="7"/>
      <c r="W25" s="7"/>
      <c r="X25" s="2"/>
      <c r="Y25" s="7"/>
      <c r="Z25" s="7"/>
      <c r="AA25" s="7"/>
      <c r="AB25" s="2"/>
      <c r="AC25" s="70"/>
      <c r="AD25" s="68"/>
      <c r="AE25" s="7"/>
      <c r="AF25" s="69"/>
      <c r="AG25" s="7"/>
      <c r="AH25" s="7"/>
      <c r="AI25" s="2"/>
      <c r="AJ25" s="7"/>
    </row>
    <row r="26" spans="1:36" x14ac:dyDescent="0.25">
      <c r="A26" s="1"/>
      <c r="B26" s="44" t="s">
        <v>272</v>
      </c>
      <c r="C26" s="63"/>
      <c r="D26" s="64"/>
      <c r="E26" s="65"/>
      <c r="F26" s="183"/>
      <c r="G26" s="67"/>
      <c r="H26" s="68"/>
      <c r="I26" s="72" t="s">
        <v>63</v>
      </c>
      <c r="J26" s="69"/>
      <c r="K26" s="7"/>
      <c r="L26" s="7"/>
      <c r="M26" s="2"/>
      <c r="N26" s="7"/>
      <c r="O26" s="7"/>
      <c r="P26" s="7"/>
      <c r="Q26" s="2"/>
      <c r="R26" s="67"/>
      <c r="S26" s="68"/>
      <c r="T26" s="7"/>
      <c r="U26" s="69"/>
      <c r="V26" s="7"/>
      <c r="W26" s="7"/>
      <c r="X26" s="2"/>
      <c r="Y26" s="7"/>
      <c r="Z26" s="7"/>
      <c r="AA26" s="7"/>
      <c r="AB26" s="2"/>
      <c r="AC26" s="70"/>
      <c r="AD26" s="68"/>
      <c r="AE26" s="7"/>
      <c r="AF26" s="69"/>
      <c r="AG26" s="7"/>
      <c r="AH26" s="7"/>
      <c r="AI26" s="2"/>
      <c r="AJ26" s="7"/>
    </row>
    <row r="27" spans="1:36" x14ac:dyDescent="0.25">
      <c r="A27" s="1"/>
      <c r="B27" s="44" t="s">
        <v>273</v>
      </c>
      <c r="C27" s="63"/>
      <c r="D27" s="64"/>
      <c r="E27" s="65"/>
      <c r="F27" s="183">
        <v>0.375</v>
      </c>
      <c r="G27" s="67"/>
      <c r="H27" s="68"/>
      <c r="I27" s="112">
        <v>-0.25</v>
      </c>
      <c r="J27" s="69"/>
      <c r="K27" s="7"/>
      <c r="L27" s="7"/>
      <c r="M27" s="2"/>
      <c r="N27" s="7"/>
      <c r="O27" s="7"/>
      <c r="P27" s="7"/>
      <c r="Q27" s="2"/>
      <c r="R27" s="67"/>
      <c r="S27" s="68"/>
      <c r="T27" s="7"/>
      <c r="U27" s="69"/>
      <c r="V27" s="7"/>
      <c r="W27" s="7"/>
      <c r="X27" s="2"/>
      <c r="Y27" s="7"/>
      <c r="Z27" s="7"/>
      <c r="AA27" s="7"/>
      <c r="AB27" s="2"/>
      <c r="AC27" s="70"/>
      <c r="AD27" s="68"/>
      <c r="AE27" s="7"/>
      <c r="AF27" s="69"/>
      <c r="AG27" s="7"/>
      <c r="AH27" s="7"/>
      <c r="AI27" s="2"/>
      <c r="AJ27" s="7"/>
    </row>
    <row r="28" spans="1:36" x14ac:dyDescent="0.25">
      <c r="A28" s="1"/>
      <c r="B28" s="44" t="s">
        <v>274</v>
      </c>
      <c r="C28" s="63"/>
      <c r="D28" s="64"/>
      <c r="E28" s="65"/>
      <c r="F28" s="183">
        <v>1.61</v>
      </c>
      <c r="G28" s="67"/>
      <c r="H28" s="68"/>
      <c r="I28" s="112">
        <v>-1.7</v>
      </c>
      <c r="J28" s="69"/>
      <c r="K28" s="7"/>
      <c r="L28" s="7"/>
      <c r="M28" s="2"/>
      <c r="N28" s="7"/>
      <c r="O28" s="7"/>
      <c r="P28" s="7"/>
      <c r="Q28" s="2"/>
      <c r="R28" s="67"/>
      <c r="S28" s="68"/>
      <c r="T28" s="7"/>
      <c r="U28" s="69"/>
      <c r="V28" s="7"/>
      <c r="W28" s="7"/>
      <c r="X28" s="2"/>
      <c r="Y28" s="7"/>
      <c r="Z28" s="7"/>
      <c r="AA28" s="7"/>
      <c r="AB28" s="2"/>
      <c r="AC28" s="70"/>
      <c r="AD28" s="68"/>
      <c r="AE28" s="7"/>
      <c r="AF28" s="69"/>
      <c r="AG28" s="7"/>
      <c r="AH28" s="7"/>
      <c r="AI28" s="2"/>
      <c r="AJ28" s="7"/>
    </row>
    <row r="29" spans="1:36" x14ac:dyDescent="0.25">
      <c r="A29" s="1"/>
      <c r="B29" s="44" t="s">
        <v>275</v>
      </c>
      <c r="C29" s="63"/>
      <c r="D29" s="64"/>
      <c r="E29" s="65"/>
      <c r="F29" s="183">
        <v>1.99</v>
      </c>
      <c r="G29" s="67"/>
      <c r="H29" s="68"/>
      <c r="I29" s="165">
        <v>-1.52</v>
      </c>
      <c r="J29" s="69"/>
      <c r="K29" s="7"/>
      <c r="L29" s="7"/>
      <c r="M29" s="2"/>
      <c r="N29" s="7"/>
      <c r="O29" s="7"/>
      <c r="P29" s="7"/>
      <c r="Q29" s="2"/>
      <c r="R29" s="67"/>
      <c r="S29" s="68"/>
      <c r="T29" s="7"/>
      <c r="U29" s="69"/>
      <c r="V29" s="7"/>
      <c r="W29" s="7"/>
      <c r="X29" s="2"/>
      <c r="Y29" s="7"/>
      <c r="Z29" s="7"/>
      <c r="AA29" s="7"/>
      <c r="AB29" s="2"/>
      <c r="AC29" s="70"/>
      <c r="AD29" s="68"/>
      <c r="AE29" s="7"/>
      <c r="AF29" s="69"/>
      <c r="AG29" s="7"/>
      <c r="AH29" s="7"/>
      <c r="AI29" s="2"/>
      <c r="AJ29" s="7"/>
    </row>
    <row r="30" spans="1:36" x14ac:dyDescent="0.25">
      <c r="A30" s="1"/>
      <c r="B30" s="44" t="s">
        <v>276</v>
      </c>
      <c r="C30" s="63"/>
      <c r="D30" s="64"/>
      <c r="E30" s="65"/>
      <c r="F30" s="183">
        <v>0.44</v>
      </c>
      <c r="G30" s="67"/>
      <c r="H30" s="68"/>
      <c r="I30" s="112">
        <v>-0.24</v>
      </c>
      <c r="J30" s="69"/>
      <c r="K30" s="7"/>
      <c r="L30" s="7"/>
      <c r="M30" s="2"/>
      <c r="N30" s="7"/>
      <c r="O30" s="7"/>
      <c r="P30" s="7"/>
      <c r="Q30" s="2"/>
      <c r="R30" s="67"/>
      <c r="S30" s="68"/>
      <c r="T30" s="7"/>
      <c r="U30" s="69"/>
      <c r="V30" s="7"/>
      <c r="W30" s="7"/>
      <c r="X30" s="2"/>
      <c r="Y30" s="7"/>
      <c r="Z30" s="7"/>
      <c r="AA30" s="7"/>
      <c r="AB30" s="2"/>
      <c r="AC30" s="70"/>
      <c r="AD30" s="68"/>
      <c r="AE30" s="7"/>
      <c r="AF30" s="69"/>
      <c r="AG30" s="7"/>
      <c r="AH30" s="7"/>
      <c r="AI30" s="2"/>
      <c r="AJ30" s="7"/>
    </row>
    <row r="31" spans="1:36" x14ac:dyDescent="0.25">
      <c r="A31" s="1"/>
      <c r="B31" s="2"/>
      <c r="C31" s="63"/>
      <c r="D31" s="64"/>
      <c r="E31" s="65"/>
      <c r="F31" s="66"/>
      <c r="G31" s="67"/>
      <c r="H31" s="68"/>
      <c r="I31" s="63"/>
      <c r="J31" s="69"/>
      <c r="K31" s="7"/>
      <c r="L31" s="7"/>
      <c r="M31" s="2"/>
      <c r="N31" s="7"/>
      <c r="O31" s="7"/>
      <c r="P31" s="7"/>
      <c r="Q31" s="2"/>
      <c r="R31" s="67"/>
      <c r="S31" s="68"/>
      <c r="T31" s="7"/>
      <c r="U31" s="69"/>
      <c r="V31" s="7"/>
      <c r="W31" s="7"/>
      <c r="X31" s="2"/>
      <c r="Y31" s="7"/>
      <c r="Z31" s="7"/>
      <c r="AA31" s="7"/>
      <c r="AB31" s="2"/>
      <c r="AC31" s="70"/>
      <c r="AD31" s="68"/>
      <c r="AE31" s="7"/>
      <c r="AF31" s="69"/>
      <c r="AG31" s="7"/>
      <c r="AH31" s="7"/>
      <c r="AI31" s="2"/>
      <c r="AJ31" s="7"/>
    </row>
    <row r="32" spans="1:36" x14ac:dyDescent="0.25">
      <c r="A32" s="1"/>
      <c r="B32" s="2"/>
      <c r="C32" s="63"/>
      <c r="D32" s="64"/>
      <c r="E32" s="65"/>
      <c r="F32" s="66"/>
      <c r="G32" s="67"/>
      <c r="H32" s="68"/>
      <c r="I32" s="63"/>
      <c r="J32" s="69"/>
      <c r="K32" s="7"/>
      <c r="L32" s="7"/>
      <c r="M32" s="2"/>
      <c r="N32" s="7"/>
      <c r="O32" s="7"/>
      <c r="P32" s="7"/>
      <c r="Q32" s="2"/>
      <c r="R32" s="67"/>
      <c r="S32" s="68"/>
      <c r="T32" s="7"/>
      <c r="U32" s="69"/>
      <c r="V32" s="7"/>
      <c r="W32" s="7"/>
      <c r="X32" s="2"/>
      <c r="Y32" s="7"/>
      <c r="Z32" s="7"/>
      <c r="AA32" s="7"/>
      <c r="AB32" s="2"/>
      <c r="AC32" s="70"/>
      <c r="AD32" s="68"/>
      <c r="AE32" s="7"/>
      <c r="AF32" s="69"/>
      <c r="AG32" s="7"/>
      <c r="AH32" s="7"/>
      <c r="AI32" s="2"/>
      <c r="AJ32" s="7"/>
    </row>
  </sheetData>
  <hyperlinks>
    <hyperlink ref="T5" r:id="rId1"/>
    <hyperlink ref="T6" r:id="rId2"/>
    <hyperlink ref="T7" r:id="rId3"/>
    <hyperlink ref="T8" r:id="rId4"/>
    <hyperlink ref="T9" r:id="rId5"/>
    <hyperlink ref="T12" r:id="rId6"/>
    <hyperlink ref="T14" r:id="rId7"/>
    <hyperlink ref="T13" r:id="rId8"/>
    <hyperlink ref="T11" r:id="rI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Scherer Data</vt:lpstr>
      <vt:lpstr>Scherer Import</vt:lpstr>
      <vt:lpstr>15 02 16 Scherer</vt:lpstr>
      <vt:lpstr>13 12 31 Data Date</vt:lpstr>
      <vt:lpstr>Sheet1</vt:lpstr>
      <vt:lpstr>Scrap Values</vt:lpstr>
      <vt:lpstr>'15 02 16 Scherer'!Print_Area</vt:lpstr>
      <vt:lpstr>'Scherer Data'!Print_Area</vt:lpstr>
      <vt:lpstr>'15 02 16 Scherer'!Print_Titles</vt:lpstr>
      <vt:lpstr>'Scherer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bastim</dc:creator>
  <cp:lastModifiedBy>Cornelius, Richard</cp:lastModifiedBy>
  <dcterms:created xsi:type="dcterms:W3CDTF">2014-05-01T12:31:08Z</dcterms:created>
  <dcterms:modified xsi:type="dcterms:W3CDTF">2016-05-06T17:51:48Z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-917678037</vt:i4>
  </property>
  <property fmtid="{D5CDD505-2E9C-101B-9397-08002B2CF9AE}" pid="3" name="_NewReviewCycle">
    <vt:lpwstr/>
  </property>
  <property fmtid="{D5CDD505-2E9C-101B-9397-08002B2CF9AE}" pid="4" name="_EmailSubject">
    <vt:lpwstr>Docket No. 160170 Depreciation &amp; Dismantlement 3 of 4</vt:lpwstr>
  </property>
  <property fmtid="{D5CDD505-2E9C-101B-9397-08002B2CF9AE}" pid="5" name="_AuthorEmail">
    <vt:lpwstr>MBROADWA@SOUTHERNCO.COM</vt:lpwstr>
  </property>
  <property fmtid="{D5CDD505-2E9C-101B-9397-08002B2CF9AE}" pid="6" name="_AuthorEmailDisplayName">
    <vt:lpwstr>Broadway, Mike</vt:lpwstr>
  </property>
</Properties>
</file>