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395" yWindow="-15" windowWidth="28320" windowHeight="10785" activeTab="1"/>
  </bookViews>
  <sheets>
    <sheet name="Scholz Data" sheetId="1" r:id="rId1"/>
    <sheet name="Scholz Import" sheetId="2" r:id="rId2"/>
    <sheet name="Scholz" sheetId="4" r:id="rId3"/>
    <sheet name="Sheet1" sheetId="5" r:id="rId4"/>
    <sheet name="Scrap Values" sheetId="6" r:id="rId5"/>
  </sheets>
  <externalReferences>
    <externalReference r:id="rId6"/>
  </externalReferences>
  <definedNames>
    <definedName name="_xlnm._FilterDatabase" localSheetId="1" hidden="1">'Scholz Import'!$A$2:$AB$95</definedName>
    <definedName name="_xlnm.Print_Area" localSheetId="2">Scholz!$A$1:$BJ$49</definedName>
    <definedName name="_xlnm.Print_Area" localSheetId="0">'Scholz Data'!$A$1:$BL$67</definedName>
    <definedName name="_xlnm.Print_Titles" localSheetId="2">Scholz!$A:$B</definedName>
    <definedName name="_xlnm.Print_Titles" localSheetId="0">'Scholz Data'!$A:$B</definedName>
  </definedNames>
  <calcPr calcId="145621" iterate="1" calcOnSave="0"/>
</workbook>
</file>

<file path=xl/calcChain.xml><?xml version="1.0" encoding="utf-8"?>
<calcChain xmlns="http://schemas.openxmlformats.org/spreadsheetml/2006/main">
  <c r="H22" i="2" l="1"/>
  <c r="E47" i="1" l="1"/>
  <c r="E46" i="1"/>
  <c r="E40" i="1"/>
  <c r="E38" i="1"/>
  <c r="E34" i="1"/>
  <c r="E31" i="1"/>
  <c r="E28" i="1"/>
  <c r="E27" i="1"/>
  <c r="E25" i="1"/>
  <c r="E23" i="1"/>
  <c r="E18" i="1"/>
  <c r="E15" i="1"/>
  <c r="E11" i="1"/>
  <c r="AI14" i="6" l="1"/>
  <c r="Q14" i="6"/>
  <c r="M14" i="6" s="1"/>
  <c r="K14" i="6"/>
  <c r="AI13" i="6"/>
  <c r="Q13" i="6"/>
  <c r="M13" i="6" s="1"/>
  <c r="K13" i="6"/>
  <c r="AI12" i="6"/>
  <c r="Q12" i="6"/>
  <c r="M12" i="6" s="1"/>
  <c r="K12" i="6"/>
  <c r="AI11" i="6"/>
  <c r="Q11" i="6"/>
  <c r="M11" i="6" s="1"/>
  <c r="K11" i="6"/>
  <c r="AI10" i="6"/>
  <c r="Q10" i="6"/>
  <c r="K9" i="6"/>
  <c r="AI9" i="6" s="1"/>
  <c r="K8" i="6"/>
  <c r="AI8" i="6" s="1"/>
  <c r="K7" i="6"/>
  <c r="AI7" i="6" s="1"/>
  <c r="K6" i="6"/>
  <c r="AI6" i="6" s="1"/>
  <c r="AG5" i="6"/>
  <c r="K5" i="6"/>
  <c r="AI5" i="6" s="1"/>
  <c r="Q2" i="6"/>
  <c r="F1" i="6"/>
  <c r="F3" i="6" s="1"/>
  <c r="Q5" i="6" l="1"/>
  <c r="M5" i="6" s="1"/>
  <c r="Q6" i="6"/>
  <c r="M6" i="6" s="1"/>
  <c r="Q7" i="6"/>
  <c r="M7" i="6" s="1"/>
  <c r="Q8" i="6"/>
  <c r="M8" i="6" s="1"/>
  <c r="Q9" i="6"/>
  <c r="M9" i="6" s="1"/>
  <c r="O9" i="2"/>
  <c r="O10" i="2"/>
  <c r="O11" i="2"/>
  <c r="O12" i="2"/>
  <c r="O13" i="2"/>
  <c r="O14" i="2"/>
  <c r="O8" i="2"/>
  <c r="O15" i="2"/>
  <c r="O16" i="2"/>
  <c r="O17" i="2"/>
  <c r="O90" i="2"/>
  <c r="O91" i="2"/>
  <c r="N9" i="2"/>
  <c r="N10" i="2"/>
  <c r="N11" i="2"/>
  <c r="N26" i="2"/>
  <c r="N28" i="2"/>
  <c r="N12" i="2"/>
  <c r="N13" i="2"/>
  <c r="N14" i="2"/>
  <c r="N8" i="2"/>
  <c r="N15" i="2"/>
  <c r="N16" i="2"/>
  <c r="N17" i="2"/>
  <c r="N22" i="2"/>
  <c r="N64" i="2"/>
  <c r="N59" i="2"/>
  <c r="N74" i="2"/>
  <c r="O35" i="5" l="1"/>
  <c r="I27" i="2" l="1"/>
  <c r="O27" i="2" s="1"/>
  <c r="F27" i="2"/>
  <c r="I25" i="2"/>
  <c r="F25" i="2"/>
  <c r="F28" i="2"/>
  <c r="I28" i="2"/>
  <c r="O28" i="2" s="1"/>
  <c r="I26" i="2"/>
  <c r="O26" i="2" s="1"/>
  <c r="F26" i="2"/>
  <c r="O25" i="2" l="1"/>
  <c r="H93" i="2"/>
  <c r="N93" i="2" s="1"/>
  <c r="H71" i="2"/>
  <c r="N71" i="2" s="1"/>
  <c r="H77" i="2"/>
  <c r="N77" i="2" s="1"/>
  <c r="H61" i="2"/>
  <c r="N61" i="2" s="1"/>
  <c r="H3" i="2"/>
  <c r="H27" i="2"/>
  <c r="N27" i="2" s="1"/>
  <c r="E24" i="1" l="1"/>
  <c r="E22" i="1"/>
  <c r="E29" i="1"/>
  <c r="E21" i="1"/>
  <c r="E20" i="1"/>
  <c r="E39" i="1"/>
  <c r="E35" i="1"/>
  <c r="E30" i="1"/>
  <c r="E19" i="1"/>
  <c r="V9" i="2"/>
  <c r="V11" i="2"/>
  <c r="I61" i="2"/>
  <c r="O61" i="2" s="1"/>
  <c r="V10" i="2"/>
  <c r="V26" i="2"/>
  <c r="H25" i="2"/>
  <c r="N25" i="2" s="1"/>
  <c r="V27" i="2" l="1"/>
  <c r="V71" i="2"/>
  <c r="I71" i="2"/>
  <c r="O71" i="2" s="1"/>
  <c r="V28" i="2"/>
  <c r="V25" i="2"/>
  <c r="V61" i="2"/>
  <c r="I89" i="2"/>
  <c r="O89" i="2" s="1"/>
  <c r="D46" i="1"/>
  <c r="F88" i="2" s="1"/>
  <c r="H88" i="2"/>
  <c r="N88" i="2" s="1"/>
  <c r="I88" i="2"/>
  <c r="O88" i="2" s="1"/>
  <c r="V89" i="2"/>
  <c r="H89" i="2"/>
  <c r="N89" i="2" s="1"/>
  <c r="V88" i="2"/>
  <c r="BM46" i="1"/>
  <c r="BH46" i="1"/>
  <c r="BL46" i="1" s="1"/>
  <c r="BA46" i="1"/>
  <c r="BE46" i="1" s="1"/>
  <c r="AT46" i="1"/>
  <c r="AX46" i="1" s="1"/>
  <c r="AM46" i="1"/>
  <c r="AQ46" i="1" s="1"/>
  <c r="AF46" i="1"/>
  <c r="AJ46" i="1" s="1"/>
  <c r="Y46" i="1"/>
  <c r="AA46" i="1" s="1"/>
  <c r="R46" i="1"/>
  <c r="V46" i="1" s="1"/>
  <c r="K46" i="1"/>
  <c r="O46" i="1" s="1"/>
  <c r="AV46" i="1" l="1"/>
  <c r="F89" i="2"/>
  <c r="BC46" i="1"/>
  <c r="I93" i="2"/>
  <c r="O93" i="2" s="1"/>
  <c r="V93" i="2"/>
  <c r="I3" i="2"/>
  <c r="O3" i="2" s="1"/>
  <c r="V3" i="2"/>
  <c r="N3" i="2"/>
  <c r="I77" i="2"/>
  <c r="O77" i="2" s="1"/>
  <c r="V77" i="2"/>
  <c r="AC46" i="1"/>
  <c r="T46" i="1"/>
  <c r="M46" i="1"/>
  <c r="AO46" i="1"/>
  <c r="BN46" i="1"/>
  <c r="AH46" i="1"/>
  <c r="BJ46" i="1"/>
  <c r="V36" i="5"/>
  <c r="O36" i="5"/>
  <c r="N36" i="5"/>
  <c r="N35" i="5"/>
  <c r="H35" i="5"/>
  <c r="V35" i="5" s="1"/>
  <c r="V34" i="5"/>
  <c r="O34" i="5"/>
  <c r="N34" i="5"/>
  <c r="H32" i="5"/>
  <c r="V32" i="5" s="1"/>
  <c r="H29" i="5"/>
  <c r="I29" i="5" s="1"/>
  <c r="O29" i="5" s="1"/>
  <c r="V28" i="5"/>
  <c r="O28" i="5"/>
  <c r="N28" i="5"/>
  <c r="N27" i="5"/>
  <c r="F27" i="5"/>
  <c r="I27" i="5" s="1"/>
  <c r="O27" i="5" s="1"/>
  <c r="I26" i="5"/>
  <c r="H33" i="5" s="1"/>
  <c r="H26" i="5"/>
  <c r="N26" i="5" s="1"/>
  <c r="F26" i="5"/>
  <c r="V25" i="5"/>
  <c r="O25" i="5"/>
  <c r="N25" i="5"/>
  <c r="N24" i="5"/>
  <c r="I24" i="5"/>
  <c r="O24" i="5" s="1"/>
  <c r="F24" i="5"/>
  <c r="V24" i="5" s="1"/>
  <c r="O23" i="5"/>
  <c r="I23" i="5"/>
  <c r="H31" i="5" s="1"/>
  <c r="F23" i="5"/>
  <c r="BO46" i="1" l="1"/>
  <c r="BP46" i="1" s="1"/>
  <c r="I31" i="5"/>
  <c r="O31" i="5" s="1"/>
  <c r="N31" i="5"/>
  <c r="V31" i="5"/>
  <c r="V33" i="5"/>
  <c r="N33" i="5"/>
  <c r="I33" i="5"/>
  <c r="O33" i="5" s="1"/>
  <c r="V26" i="5"/>
  <c r="V29" i="5"/>
  <c r="I32" i="5"/>
  <c r="O32" i="5" s="1"/>
  <c r="H23" i="5"/>
  <c r="N23" i="5" s="1"/>
  <c r="H30" i="5"/>
  <c r="N32" i="5"/>
  <c r="O26" i="5"/>
  <c r="N29" i="5"/>
  <c r="V27" i="5"/>
  <c r="H21" i="2"/>
  <c r="N21" i="2" s="1"/>
  <c r="H20" i="2"/>
  <c r="N20" i="2" s="1"/>
  <c r="F21" i="2"/>
  <c r="F20" i="2"/>
  <c r="I21" i="2"/>
  <c r="O21" i="2" s="1"/>
  <c r="I20" i="2"/>
  <c r="O20" i="2" s="1"/>
  <c r="D19" i="1"/>
  <c r="D18" i="1"/>
  <c r="F18" i="1" s="1"/>
  <c r="F19" i="1"/>
  <c r="BH40" i="1"/>
  <c r="BL40" i="1" s="1"/>
  <c r="BA40" i="1"/>
  <c r="BC40" i="1" s="1"/>
  <c r="AT40" i="1"/>
  <c r="AX40" i="1" s="1"/>
  <c r="AM40" i="1"/>
  <c r="AO40" i="1" s="1"/>
  <c r="AF40" i="1"/>
  <c r="AJ40" i="1" s="1"/>
  <c r="Y40" i="1"/>
  <c r="AA40" i="1" s="1"/>
  <c r="V40" i="1"/>
  <c r="R40" i="1"/>
  <c r="T40" i="1" s="1"/>
  <c r="K40" i="1"/>
  <c r="M40" i="1" s="1"/>
  <c r="BH39" i="1"/>
  <c r="BL39" i="1" s="1"/>
  <c r="BA39" i="1"/>
  <c r="BC39" i="1" s="1"/>
  <c r="AT39" i="1"/>
  <c r="AV39" i="1" s="1"/>
  <c r="AM39" i="1"/>
  <c r="AO39" i="1" s="1"/>
  <c r="AH39" i="1"/>
  <c r="AF39" i="1"/>
  <c r="AJ39" i="1" s="1"/>
  <c r="Y39" i="1"/>
  <c r="AA39" i="1" s="1"/>
  <c r="V39" i="1"/>
  <c r="R39" i="1"/>
  <c r="T39" i="1" s="1"/>
  <c r="K39" i="1"/>
  <c r="O39" i="1" s="1"/>
  <c r="BJ38" i="1"/>
  <c r="BH38" i="1"/>
  <c r="BL38" i="1" s="1"/>
  <c r="BA38" i="1"/>
  <c r="BC38" i="1" s="1"/>
  <c r="AT38" i="1"/>
  <c r="AV38" i="1" s="1"/>
  <c r="AO38" i="1"/>
  <c r="AM38" i="1"/>
  <c r="AQ38" i="1" s="1"/>
  <c r="AF38" i="1"/>
  <c r="AJ38" i="1" s="1"/>
  <c r="Y38" i="1"/>
  <c r="AA38" i="1" s="1"/>
  <c r="R38" i="1"/>
  <c r="T38" i="1" s="1"/>
  <c r="K38" i="1"/>
  <c r="M38" i="1" s="1"/>
  <c r="BH37" i="1"/>
  <c r="BL37" i="1" s="1"/>
  <c r="BA37" i="1"/>
  <c r="BC37" i="1" s="1"/>
  <c r="AT37" i="1"/>
  <c r="AV37" i="1" s="1"/>
  <c r="AM37" i="1"/>
  <c r="AO37" i="1" s="1"/>
  <c r="AF37" i="1"/>
  <c r="AJ37" i="1" s="1"/>
  <c r="Y37" i="1"/>
  <c r="AA37" i="1" s="1"/>
  <c r="R37" i="1"/>
  <c r="V37" i="1" s="1"/>
  <c r="K37" i="1"/>
  <c r="O37" i="1" s="1"/>
  <c r="BH35" i="1"/>
  <c r="BL35" i="1" s="1"/>
  <c r="BA35" i="1"/>
  <c r="BE35" i="1" s="1"/>
  <c r="AT35" i="1"/>
  <c r="AX35" i="1" s="1"/>
  <c r="AM35" i="1"/>
  <c r="AQ35" i="1" s="1"/>
  <c r="AF35" i="1"/>
  <c r="AJ35" i="1" s="1"/>
  <c r="Y35" i="1"/>
  <c r="AC35" i="1" s="1"/>
  <c r="R35" i="1"/>
  <c r="T35" i="1" s="1"/>
  <c r="O35" i="1"/>
  <c r="M35" i="1"/>
  <c r="K35" i="1"/>
  <c r="BH34" i="1"/>
  <c r="BL34" i="1" s="1"/>
  <c r="BA34" i="1"/>
  <c r="BE34" i="1" s="1"/>
  <c r="AT34" i="1"/>
  <c r="AV34" i="1" s="1"/>
  <c r="AM34" i="1"/>
  <c r="AQ34" i="1" s="1"/>
  <c r="AF34" i="1"/>
  <c r="AJ34" i="1" s="1"/>
  <c r="Y34" i="1"/>
  <c r="AC34" i="1" s="1"/>
  <c r="R34" i="1"/>
  <c r="T34" i="1" s="1"/>
  <c r="M34" i="1"/>
  <c r="K34" i="1"/>
  <c r="O34" i="1" s="1"/>
  <c r="BH33" i="1"/>
  <c r="BL33" i="1" s="1"/>
  <c r="BA33" i="1"/>
  <c r="BE33" i="1" s="1"/>
  <c r="AT33" i="1"/>
  <c r="AV33" i="1" s="1"/>
  <c r="AO33" i="1"/>
  <c r="AM33" i="1"/>
  <c r="AQ33" i="1" s="1"/>
  <c r="AF33" i="1"/>
  <c r="AJ33" i="1" s="1"/>
  <c r="Y33" i="1"/>
  <c r="AC33" i="1" s="1"/>
  <c r="R33" i="1"/>
  <c r="T33" i="1" s="1"/>
  <c r="K33" i="1"/>
  <c r="O33" i="1" s="1"/>
  <c r="BM47" i="1"/>
  <c r="BH47" i="1"/>
  <c r="BL47" i="1" s="1"/>
  <c r="BA47" i="1"/>
  <c r="BE47" i="1" s="1"/>
  <c r="AT47" i="1"/>
  <c r="AX47" i="1" s="1"/>
  <c r="AO47" i="1"/>
  <c r="AM47" i="1"/>
  <c r="AQ47" i="1" s="1"/>
  <c r="AF47" i="1"/>
  <c r="AJ47" i="1" s="1"/>
  <c r="Y47" i="1"/>
  <c r="AC47" i="1" s="1"/>
  <c r="R47" i="1"/>
  <c r="V47" i="1" s="1"/>
  <c r="O47" i="1"/>
  <c r="K47" i="1"/>
  <c r="BH31" i="1"/>
  <c r="BL31" i="1" s="1"/>
  <c r="BA31" i="1"/>
  <c r="BC31" i="1" s="1"/>
  <c r="AT31" i="1"/>
  <c r="AX31" i="1" s="1"/>
  <c r="AM31" i="1"/>
  <c r="AO31" i="1" s="1"/>
  <c r="AF31" i="1"/>
  <c r="AJ31" i="1" s="1"/>
  <c r="Y31" i="1"/>
  <c r="AA31" i="1" s="1"/>
  <c r="R31" i="1"/>
  <c r="T31" i="1" s="1"/>
  <c r="K31" i="1"/>
  <c r="O31" i="1" s="1"/>
  <c r="I27" i="4"/>
  <c r="K27" i="4"/>
  <c r="M27" i="4"/>
  <c r="P27" i="4"/>
  <c r="R27" i="4"/>
  <c r="T27" i="4"/>
  <c r="W27" i="4"/>
  <c r="AA27" i="4" s="1"/>
  <c r="AD27" i="4"/>
  <c r="AF27" i="4" s="1"/>
  <c r="AK27" i="4"/>
  <c r="AM27" i="4"/>
  <c r="AO27" i="4"/>
  <c r="AR27" i="4"/>
  <c r="AT27" i="4"/>
  <c r="AV27" i="4"/>
  <c r="AY27" i="4"/>
  <c r="BC27" i="4" s="1"/>
  <c r="BH29" i="1"/>
  <c r="BL29" i="1" s="1"/>
  <c r="BA29" i="1"/>
  <c r="BC29" i="1" s="1"/>
  <c r="AT29" i="1"/>
  <c r="AV29" i="1" s="1"/>
  <c r="AM29" i="1"/>
  <c r="AQ29" i="1" s="1"/>
  <c r="AF29" i="1"/>
  <c r="AJ29" i="1" s="1"/>
  <c r="Y29" i="1"/>
  <c r="AA29" i="1" s="1"/>
  <c r="R29" i="1"/>
  <c r="T29" i="1" s="1"/>
  <c r="K29" i="1"/>
  <c r="M29" i="1" s="1"/>
  <c r="I26" i="4"/>
  <c r="K26" i="4"/>
  <c r="M26" i="4"/>
  <c r="P26" i="4"/>
  <c r="R26" i="4"/>
  <c r="T26" i="4"/>
  <c r="W26" i="4"/>
  <c r="AA26" i="4" s="1"/>
  <c r="AD26" i="4"/>
  <c r="AH26" i="4" s="1"/>
  <c r="AF26" i="4"/>
  <c r="AK26" i="4"/>
  <c r="AM26" i="4"/>
  <c r="AO26" i="4"/>
  <c r="AR26" i="4"/>
  <c r="AT26" i="4"/>
  <c r="AV26" i="4"/>
  <c r="AY26" i="4"/>
  <c r="BC26" i="4" s="1"/>
  <c r="BF26" i="4"/>
  <c r="BJ26" i="4" s="1"/>
  <c r="BH26" i="4"/>
  <c r="BK26" i="4"/>
  <c r="BL26" i="4"/>
  <c r="BF27" i="4"/>
  <c r="BJ27" i="4" s="1"/>
  <c r="BH27" i="4"/>
  <c r="BK27" i="4"/>
  <c r="BM28" i="4"/>
  <c r="BH27" i="1"/>
  <c r="BL27" i="1" s="1"/>
  <c r="BA27" i="1"/>
  <c r="BC27" i="1" s="1"/>
  <c r="AT27" i="1"/>
  <c r="AV27" i="1" s="1"/>
  <c r="AM27" i="1"/>
  <c r="AQ27" i="1" s="1"/>
  <c r="AF27" i="1"/>
  <c r="AJ27" i="1" s="1"/>
  <c r="Y27" i="1"/>
  <c r="AA27" i="1" s="1"/>
  <c r="R27" i="1"/>
  <c r="T27" i="1" s="1"/>
  <c r="K27" i="1"/>
  <c r="O27" i="1" s="1"/>
  <c r="BH26" i="1"/>
  <c r="BL26" i="1" s="1"/>
  <c r="BA26" i="1"/>
  <c r="BC26" i="1" s="1"/>
  <c r="AT26" i="1"/>
  <c r="AV26" i="1" s="1"/>
  <c r="AM26" i="1"/>
  <c r="AO26" i="1" s="1"/>
  <c r="AF26" i="1"/>
  <c r="AJ26" i="1" s="1"/>
  <c r="Y26" i="1"/>
  <c r="AA26" i="1" s="1"/>
  <c r="R26" i="1"/>
  <c r="T26" i="1" s="1"/>
  <c r="K26" i="1"/>
  <c r="M26" i="1" s="1"/>
  <c r="BH25" i="1"/>
  <c r="BL25" i="1" s="1"/>
  <c r="BA25" i="1"/>
  <c r="BC25" i="1" s="1"/>
  <c r="AT25" i="1"/>
  <c r="AV25" i="1" s="1"/>
  <c r="AM25" i="1"/>
  <c r="AO25" i="1" s="1"/>
  <c r="AF25" i="1"/>
  <c r="AJ25" i="1" s="1"/>
  <c r="Y25" i="1"/>
  <c r="AA25" i="1" s="1"/>
  <c r="R25" i="1"/>
  <c r="T25" i="1" s="1"/>
  <c r="K25" i="1"/>
  <c r="O25" i="1" s="1"/>
  <c r="BH24" i="1"/>
  <c r="BL24" i="1" s="1"/>
  <c r="BA24" i="1"/>
  <c r="BC24" i="1" s="1"/>
  <c r="AT24" i="1"/>
  <c r="AX24" i="1" s="1"/>
  <c r="AM24" i="1"/>
  <c r="AO24" i="1" s="1"/>
  <c r="AF24" i="1"/>
  <c r="AJ24" i="1" s="1"/>
  <c r="Y24" i="1"/>
  <c r="AA24" i="1" s="1"/>
  <c r="R24" i="1"/>
  <c r="V24" i="1" s="1"/>
  <c r="K24" i="1"/>
  <c r="M24" i="1" s="1"/>
  <c r="BH23" i="1"/>
  <c r="BL23" i="1" s="1"/>
  <c r="BA23" i="1"/>
  <c r="BC23" i="1" s="1"/>
  <c r="AT23" i="1"/>
  <c r="AV23" i="1" s="1"/>
  <c r="AM23" i="1"/>
  <c r="AO23" i="1" s="1"/>
  <c r="AF23" i="1"/>
  <c r="AJ23" i="1" s="1"/>
  <c r="Y23" i="1"/>
  <c r="AA23" i="1" s="1"/>
  <c r="R23" i="1"/>
  <c r="T23" i="1" s="1"/>
  <c r="K23" i="1"/>
  <c r="M23" i="1" s="1"/>
  <c r="BH22" i="1"/>
  <c r="BL22" i="1" s="1"/>
  <c r="BA22" i="1"/>
  <c r="BC22" i="1" s="1"/>
  <c r="AT22" i="1"/>
  <c r="AV22" i="1" s="1"/>
  <c r="AM22" i="1"/>
  <c r="AO22" i="1" s="1"/>
  <c r="AF22" i="1"/>
  <c r="AJ22" i="1" s="1"/>
  <c r="Y22" i="1"/>
  <c r="AA22" i="1" s="1"/>
  <c r="R22" i="1"/>
  <c r="T22" i="1" s="1"/>
  <c r="K22" i="1"/>
  <c r="M22" i="1" s="1"/>
  <c r="BH21" i="1"/>
  <c r="BL21" i="1" s="1"/>
  <c r="BA21" i="1"/>
  <c r="BC21" i="1" s="1"/>
  <c r="AT21" i="1"/>
  <c r="AV21" i="1" s="1"/>
  <c r="AM21" i="1"/>
  <c r="AO21" i="1" s="1"/>
  <c r="AF21" i="1"/>
  <c r="AJ21" i="1" s="1"/>
  <c r="Y21" i="1"/>
  <c r="AA21" i="1" s="1"/>
  <c r="R21" i="1"/>
  <c r="T21" i="1" s="1"/>
  <c r="K21" i="1"/>
  <c r="M21" i="1" s="1"/>
  <c r="BH20" i="1"/>
  <c r="BL20" i="1" s="1"/>
  <c r="BA20" i="1"/>
  <c r="BC20" i="1" s="1"/>
  <c r="AT20" i="1"/>
  <c r="AV20" i="1" s="1"/>
  <c r="AM20" i="1"/>
  <c r="AO20" i="1" s="1"/>
  <c r="AF20" i="1"/>
  <c r="AJ20" i="1" s="1"/>
  <c r="Y20" i="1"/>
  <c r="AA20" i="1" s="1"/>
  <c r="R20" i="1"/>
  <c r="T20" i="1" s="1"/>
  <c r="K20" i="1"/>
  <c r="M20" i="1" s="1"/>
  <c r="BH15" i="1"/>
  <c r="BL15" i="1" s="1"/>
  <c r="BA15" i="1"/>
  <c r="BC15" i="1" s="1"/>
  <c r="AT15" i="1"/>
  <c r="AX15" i="1" s="1"/>
  <c r="AM15" i="1"/>
  <c r="AQ15" i="1" s="1"/>
  <c r="AF15" i="1"/>
  <c r="AJ15" i="1" s="1"/>
  <c r="Y15" i="1"/>
  <c r="AA15" i="1" s="1"/>
  <c r="R15" i="1"/>
  <c r="T15" i="1" s="1"/>
  <c r="K15" i="1"/>
  <c r="O15" i="1" s="1"/>
  <c r="BH14" i="1"/>
  <c r="BL14" i="1" s="1"/>
  <c r="BA14" i="1"/>
  <c r="BC14" i="1" s="1"/>
  <c r="AT14" i="1"/>
  <c r="AV14" i="1" s="1"/>
  <c r="AM14" i="1"/>
  <c r="AQ14" i="1" s="1"/>
  <c r="AF14" i="1"/>
  <c r="AJ14" i="1" s="1"/>
  <c r="Y14" i="1"/>
  <c r="AA14" i="1" s="1"/>
  <c r="R14" i="1"/>
  <c r="T14" i="1" s="1"/>
  <c r="K14" i="1"/>
  <c r="O14" i="1" s="1"/>
  <c r="BH13" i="1"/>
  <c r="BL13" i="1" s="1"/>
  <c r="BA13" i="1"/>
  <c r="BC13" i="1" s="1"/>
  <c r="AT13" i="1"/>
  <c r="AV13" i="1" s="1"/>
  <c r="AM13" i="1"/>
  <c r="AQ13" i="1" s="1"/>
  <c r="AF13" i="1"/>
  <c r="AJ13" i="1" s="1"/>
  <c r="Y13" i="1"/>
  <c r="AA13" i="1" s="1"/>
  <c r="R13" i="1"/>
  <c r="T13" i="1" s="1"/>
  <c r="K13" i="1"/>
  <c r="O13" i="1" s="1"/>
  <c r="BH10" i="1"/>
  <c r="BL10" i="1" s="1"/>
  <c r="BA10" i="1"/>
  <c r="BC10" i="1" s="1"/>
  <c r="AT10" i="1"/>
  <c r="AX10" i="1" s="1"/>
  <c r="AM10" i="1"/>
  <c r="AO10" i="1" s="1"/>
  <c r="AF10" i="1"/>
  <c r="AJ10" i="1" s="1"/>
  <c r="Y10" i="1"/>
  <c r="AA10" i="1" s="1"/>
  <c r="R10" i="1"/>
  <c r="V10" i="1" s="1"/>
  <c r="K10" i="1"/>
  <c r="M10" i="1" s="1"/>
  <c r="BM10" i="1"/>
  <c r="BH7" i="1"/>
  <c r="BL7" i="1" s="1"/>
  <c r="BA7" i="1"/>
  <c r="BC7" i="1" s="1"/>
  <c r="AT7" i="1"/>
  <c r="AV7" i="1" s="1"/>
  <c r="AM7" i="1"/>
  <c r="AO7" i="1" s="1"/>
  <c r="AF7" i="1"/>
  <c r="AJ7" i="1" s="1"/>
  <c r="Y7" i="1"/>
  <c r="AA7" i="1" s="1"/>
  <c r="R7" i="1"/>
  <c r="T7" i="1" s="1"/>
  <c r="K7" i="1"/>
  <c r="O7" i="1" s="1"/>
  <c r="BH6" i="1"/>
  <c r="BL6" i="1" s="1"/>
  <c r="BA6" i="1"/>
  <c r="BC6" i="1" s="1"/>
  <c r="AT6" i="1"/>
  <c r="AV6" i="1" s="1"/>
  <c r="AM6" i="1"/>
  <c r="AQ6" i="1" s="1"/>
  <c r="AF6" i="1"/>
  <c r="AJ6" i="1" s="1"/>
  <c r="Y6" i="1"/>
  <c r="AA6" i="1" s="1"/>
  <c r="R6" i="1"/>
  <c r="T6" i="1" s="1"/>
  <c r="K6" i="1"/>
  <c r="M6" i="1" s="1"/>
  <c r="BH5" i="1"/>
  <c r="BL5" i="1" s="1"/>
  <c r="BA5" i="1"/>
  <c r="BC5" i="1" s="1"/>
  <c r="AT5" i="1"/>
  <c r="AV5" i="1" s="1"/>
  <c r="AM5" i="1"/>
  <c r="AQ5" i="1" s="1"/>
  <c r="AF5" i="1"/>
  <c r="AJ5" i="1" s="1"/>
  <c r="Y5" i="1"/>
  <c r="AA5" i="1" s="1"/>
  <c r="R5" i="1"/>
  <c r="T5" i="1" s="1"/>
  <c r="K5" i="1"/>
  <c r="O5" i="1" s="1"/>
  <c r="BK41" i="4"/>
  <c r="BH41" i="4"/>
  <c r="BF41" i="4"/>
  <c r="BJ41" i="4" s="1"/>
  <c r="AY41" i="4"/>
  <c r="BA41" i="4" s="1"/>
  <c r="AV41" i="4"/>
  <c r="AR41" i="4"/>
  <c r="AT41" i="4" s="1"/>
  <c r="AO41" i="4"/>
  <c r="AM41" i="4"/>
  <c r="AK41" i="4"/>
  <c r="AF41" i="4"/>
  <c r="AD41" i="4"/>
  <c r="AH41" i="4" s="1"/>
  <c r="W41" i="4"/>
  <c r="Y41" i="4" s="1"/>
  <c r="T41" i="4"/>
  <c r="P41" i="4"/>
  <c r="BL41" i="4" s="1"/>
  <c r="M41" i="4"/>
  <c r="K41" i="4"/>
  <c r="I41" i="4"/>
  <c r="BM40" i="4"/>
  <c r="BL40" i="4"/>
  <c r="BN40" i="4" s="1"/>
  <c r="BK40" i="4"/>
  <c r="I40" i="4"/>
  <c r="BM39" i="4"/>
  <c r="BK39" i="4"/>
  <c r="I39" i="4"/>
  <c r="BL39" i="4" s="1"/>
  <c r="BN39" i="4" s="1"/>
  <c r="BK38" i="4"/>
  <c r="BD38" i="4"/>
  <c r="AW38" i="4"/>
  <c r="AP38" i="4"/>
  <c r="AI38" i="4"/>
  <c r="AB38" i="4"/>
  <c r="U38" i="4"/>
  <c r="N38" i="4"/>
  <c r="G38" i="4"/>
  <c r="BK37" i="4"/>
  <c r="BJ37" i="4"/>
  <c r="BH37" i="4"/>
  <c r="BF37" i="4"/>
  <c r="BA37" i="4"/>
  <c r="AY37" i="4"/>
  <c r="BC37" i="4" s="1"/>
  <c r="AR37" i="4"/>
  <c r="AT37" i="4" s="1"/>
  <c r="AO37" i="4"/>
  <c r="AK37" i="4"/>
  <c r="AM37" i="4" s="1"/>
  <c r="AH37" i="4"/>
  <c r="AF37" i="4"/>
  <c r="AD37" i="4"/>
  <c r="Y37" i="4"/>
  <c r="W37" i="4"/>
  <c r="AA37" i="4" s="1"/>
  <c r="P37" i="4"/>
  <c r="M37" i="4"/>
  <c r="I37" i="4"/>
  <c r="BL37" i="4" s="1"/>
  <c r="BK36" i="4"/>
  <c r="BJ36" i="4"/>
  <c r="BH36" i="4"/>
  <c r="BF36" i="4"/>
  <c r="BA36" i="4"/>
  <c r="AY36" i="4"/>
  <c r="BC36" i="4" s="1"/>
  <c r="AR36" i="4"/>
  <c r="AO36" i="4"/>
  <c r="AK36" i="4"/>
  <c r="AM36" i="4" s="1"/>
  <c r="AH36" i="4"/>
  <c r="AF36" i="4"/>
  <c r="AD36" i="4"/>
  <c r="W36" i="4"/>
  <c r="AA36" i="4" s="1"/>
  <c r="P36" i="4"/>
  <c r="M36" i="4"/>
  <c r="I36" i="4"/>
  <c r="BK35" i="4"/>
  <c r="BJ35" i="4"/>
  <c r="BH35" i="4"/>
  <c r="BF35" i="4"/>
  <c r="BA35" i="4"/>
  <c r="AY35" i="4"/>
  <c r="BC35" i="4" s="1"/>
  <c r="AR35" i="4"/>
  <c r="AO35" i="4"/>
  <c r="AK35" i="4"/>
  <c r="AM35" i="4" s="1"/>
  <c r="AH35" i="4"/>
  <c r="AF35" i="4"/>
  <c r="AD35" i="4"/>
  <c r="Y35" i="4"/>
  <c r="W35" i="4"/>
  <c r="AA35" i="4" s="1"/>
  <c r="P35" i="4"/>
  <c r="M35" i="4"/>
  <c r="I35" i="4"/>
  <c r="BL35" i="4" s="1"/>
  <c r="BK34" i="4"/>
  <c r="BJ34" i="4"/>
  <c r="BH34" i="4"/>
  <c r="BF34" i="4"/>
  <c r="AY34" i="4"/>
  <c r="BC34" i="4" s="1"/>
  <c r="AR34" i="4"/>
  <c r="AO34" i="4"/>
  <c r="AK34" i="4"/>
  <c r="AM34" i="4" s="1"/>
  <c r="AH34" i="4"/>
  <c r="AF34" i="4"/>
  <c r="AD34" i="4"/>
  <c r="W34" i="4"/>
  <c r="AA34" i="4" s="1"/>
  <c r="P34" i="4"/>
  <c r="I34" i="4"/>
  <c r="BK33" i="4"/>
  <c r="BJ33" i="4"/>
  <c r="BH33" i="4"/>
  <c r="BF33" i="4"/>
  <c r="AY33" i="4"/>
  <c r="BC33" i="4" s="1"/>
  <c r="AR33" i="4"/>
  <c r="AV33" i="4" s="1"/>
  <c r="AK33" i="4"/>
  <c r="AM33" i="4" s="1"/>
  <c r="AH33" i="4"/>
  <c r="AF33" i="4"/>
  <c r="AD33" i="4"/>
  <c r="AA33" i="4"/>
  <c r="W33" i="4"/>
  <c r="Y33" i="4" s="1"/>
  <c r="P33" i="4"/>
  <c r="T33" i="4" s="1"/>
  <c r="I33" i="4"/>
  <c r="M33" i="4" s="1"/>
  <c r="BK32" i="4"/>
  <c r="BJ32" i="4"/>
  <c r="BH32" i="4"/>
  <c r="BF32" i="4"/>
  <c r="AY32" i="4"/>
  <c r="BA32" i="4" s="1"/>
  <c r="AT32" i="4"/>
  <c r="AR32" i="4"/>
  <c r="AV32" i="4" s="1"/>
  <c r="AK32" i="4"/>
  <c r="AM32" i="4" s="1"/>
  <c r="AH32" i="4"/>
  <c r="AF32" i="4"/>
  <c r="AD32" i="4"/>
  <c r="AA32" i="4"/>
  <c r="Y32" i="4"/>
  <c r="W32" i="4"/>
  <c r="P32" i="4"/>
  <c r="T32" i="4" s="1"/>
  <c r="M32" i="4"/>
  <c r="I32" i="4"/>
  <c r="BK31" i="4"/>
  <c r="BJ31" i="4"/>
  <c r="BH31" i="4"/>
  <c r="BF31" i="4"/>
  <c r="BC31" i="4"/>
  <c r="AY31" i="4"/>
  <c r="BA31" i="4" s="1"/>
  <c r="AR31" i="4"/>
  <c r="AV31" i="4" s="1"/>
  <c r="AK31" i="4"/>
  <c r="AM31" i="4" s="1"/>
  <c r="AH31" i="4"/>
  <c r="AF31" i="4"/>
  <c r="AD31" i="4"/>
  <c r="W31" i="4"/>
  <c r="AA31" i="4" s="1"/>
  <c r="P31" i="4"/>
  <c r="T31" i="4" s="1"/>
  <c r="I31" i="4"/>
  <c r="BK30" i="4"/>
  <c r="BJ30" i="4"/>
  <c r="BH30" i="4"/>
  <c r="BF30" i="4"/>
  <c r="BC30" i="4"/>
  <c r="BA30" i="4"/>
  <c r="AY30" i="4"/>
  <c r="AR30" i="4"/>
  <c r="AV30" i="4" s="1"/>
  <c r="AO30" i="4"/>
  <c r="AK30" i="4"/>
  <c r="AM30" i="4" s="1"/>
  <c r="AH30" i="4"/>
  <c r="AF30" i="4"/>
  <c r="AD30" i="4"/>
  <c r="W30" i="4"/>
  <c r="Y30" i="4" s="1"/>
  <c r="R30" i="4"/>
  <c r="P30" i="4"/>
  <c r="T30" i="4" s="1"/>
  <c r="I30" i="4"/>
  <c r="BK29" i="4"/>
  <c r="BJ29" i="4"/>
  <c r="BH29" i="4"/>
  <c r="BF29" i="4"/>
  <c r="AY29" i="4"/>
  <c r="BC29" i="4" s="1"/>
  <c r="AR29" i="4"/>
  <c r="AV29" i="4" s="1"/>
  <c r="AK29" i="4"/>
  <c r="AM29" i="4" s="1"/>
  <c r="AH29" i="4"/>
  <c r="AF29" i="4"/>
  <c r="AD29" i="4"/>
  <c r="AA29" i="4"/>
  <c r="W29" i="4"/>
  <c r="Y29" i="4" s="1"/>
  <c r="P29" i="4"/>
  <c r="T29" i="4" s="1"/>
  <c r="I29" i="4"/>
  <c r="M29" i="4" s="1"/>
  <c r="BK25" i="4"/>
  <c r="BF25" i="4"/>
  <c r="BH25" i="4" s="1"/>
  <c r="BC25" i="4"/>
  <c r="BA25" i="4"/>
  <c r="AY25" i="4"/>
  <c r="AR25" i="4"/>
  <c r="AV25" i="4" s="1"/>
  <c r="AK25" i="4"/>
  <c r="AO25" i="4" s="1"/>
  <c r="AD25" i="4"/>
  <c r="AF25" i="4" s="1"/>
  <c r="AA25" i="4"/>
  <c r="Y25" i="4"/>
  <c r="W25" i="4"/>
  <c r="T25" i="4"/>
  <c r="P25" i="4"/>
  <c r="R25" i="4" s="1"/>
  <c r="I25" i="4"/>
  <c r="M25" i="4" s="1"/>
  <c r="BK24" i="4"/>
  <c r="BJ24" i="4"/>
  <c r="BF24" i="4"/>
  <c r="BH24" i="4" s="1"/>
  <c r="BC24" i="4"/>
  <c r="BA24" i="4"/>
  <c r="AY24" i="4"/>
  <c r="AR24" i="4"/>
  <c r="AT24" i="4" s="1"/>
  <c r="AM24" i="4"/>
  <c r="AK24" i="4"/>
  <c r="AO24" i="4" s="1"/>
  <c r="AD24" i="4"/>
  <c r="AF24" i="4" s="1"/>
  <c r="AA24" i="4"/>
  <c r="Y24" i="4"/>
  <c r="W24" i="4"/>
  <c r="T24" i="4"/>
  <c r="R24" i="4"/>
  <c r="P24" i="4"/>
  <c r="I24" i="4"/>
  <c r="M24" i="4" s="1"/>
  <c r="BK23" i="4"/>
  <c r="BF23" i="4"/>
  <c r="BH23" i="4" s="1"/>
  <c r="BC23" i="4"/>
  <c r="BA23" i="4"/>
  <c r="AY23" i="4"/>
  <c r="AV23" i="4"/>
  <c r="AR23" i="4"/>
  <c r="AT23" i="4" s="1"/>
  <c r="AK23" i="4"/>
  <c r="AO23" i="4" s="1"/>
  <c r="AD23" i="4"/>
  <c r="AF23" i="4" s="1"/>
  <c r="AA23" i="4"/>
  <c r="Y23" i="4"/>
  <c r="W23" i="4"/>
  <c r="P23" i="4"/>
  <c r="T23" i="4" s="1"/>
  <c r="I23" i="4"/>
  <c r="M23" i="4" s="1"/>
  <c r="BK22" i="4"/>
  <c r="BF22" i="4"/>
  <c r="BJ22" i="4" s="1"/>
  <c r="AY22" i="4"/>
  <c r="BA22" i="4" s="1"/>
  <c r="AV22" i="4"/>
  <c r="AR22" i="4"/>
  <c r="AT22" i="4" s="1"/>
  <c r="AO22" i="4"/>
  <c r="AM22" i="4"/>
  <c r="AK22" i="4"/>
  <c r="AD22" i="4"/>
  <c r="AH22" i="4" s="1"/>
  <c r="W22" i="4"/>
  <c r="Y22" i="4" s="1"/>
  <c r="T22" i="4"/>
  <c r="P22" i="4"/>
  <c r="R22" i="4" s="1"/>
  <c r="M22" i="4"/>
  <c r="K22" i="4"/>
  <c r="I22" i="4"/>
  <c r="BK21" i="4"/>
  <c r="BF21" i="4"/>
  <c r="BJ21" i="4" s="1"/>
  <c r="AY21" i="4"/>
  <c r="BA21" i="4" s="1"/>
  <c r="AV21" i="4"/>
  <c r="AR21" i="4"/>
  <c r="AT21" i="4" s="1"/>
  <c r="AO21" i="4"/>
  <c r="AM21" i="4"/>
  <c r="AK21" i="4"/>
  <c r="AD21" i="4"/>
  <c r="AH21" i="4" s="1"/>
  <c r="W21" i="4"/>
  <c r="Y21" i="4" s="1"/>
  <c r="T21" i="4"/>
  <c r="P21" i="4"/>
  <c r="R21" i="4" s="1"/>
  <c r="M21" i="4"/>
  <c r="K21" i="4"/>
  <c r="I21" i="4"/>
  <c r="BK20" i="4"/>
  <c r="BF20" i="4"/>
  <c r="BJ20" i="4" s="1"/>
  <c r="AY20" i="4"/>
  <c r="BA20" i="4" s="1"/>
  <c r="AV20" i="4"/>
  <c r="AR20" i="4"/>
  <c r="AT20" i="4" s="1"/>
  <c r="AO20" i="4"/>
  <c r="AM20" i="4"/>
  <c r="AK20" i="4"/>
  <c r="AD20" i="4"/>
  <c r="AH20" i="4" s="1"/>
  <c r="W20" i="4"/>
  <c r="Y20" i="4" s="1"/>
  <c r="T20" i="4"/>
  <c r="P20" i="4"/>
  <c r="R20" i="4" s="1"/>
  <c r="M20" i="4"/>
  <c r="K20" i="4"/>
  <c r="I20" i="4"/>
  <c r="BK19" i="4"/>
  <c r="BF19" i="4"/>
  <c r="BJ19" i="4" s="1"/>
  <c r="AY19" i="4"/>
  <c r="BA19" i="4" s="1"/>
  <c r="AV19" i="4"/>
  <c r="AR19" i="4"/>
  <c r="AT19" i="4" s="1"/>
  <c r="AO19" i="4"/>
  <c r="AM19" i="4"/>
  <c r="AK19" i="4"/>
  <c r="AD19" i="4"/>
  <c r="AF19" i="4" s="1"/>
  <c r="W19" i="4"/>
  <c r="Y19" i="4" s="1"/>
  <c r="T19" i="4"/>
  <c r="P19" i="4"/>
  <c r="R19" i="4" s="1"/>
  <c r="M19" i="4"/>
  <c r="K19" i="4"/>
  <c r="I19" i="4"/>
  <c r="BK18" i="4"/>
  <c r="BF18" i="4"/>
  <c r="BJ18" i="4" s="1"/>
  <c r="AY18" i="4"/>
  <c r="BA18" i="4" s="1"/>
  <c r="AV18" i="4"/>
  <c r="AR18" i="4"/>
  <c r="AT18" i="4" s="1"/>
  <c r="AO18" i="4"/>
  <c r="AM18" i="4"/>
  <c r="AK18" i="4"/>
  <c r="AD18" i="4"/>
  <c r="AH18" i="4" s="1"/>
  <c r="W18" i="4"/>
  <c r="Y18" i="4" s="1"/>
  <c r="T18" i="4"/>
  <c r="P18" i="4"/>
  <c r="R18" i="4" s="1"/>
  <c r="M18" i="4"/>
  <c r="K18" i="4"/>
  <c r="I18" i="4"/>
  <c r="BK17" i="4"/>
  <c r="BF17" i="4"/>
  <c r="BJ17" i="4" s="1"/>
  <c r="AY17" i="4"/>
  <c r="BC17" i="4" s="1"/>
  <c r="AV17" i="4"/>
  <c r="AR17" i="4"/>
  <c r="AT17" i="4" s="1"/>
  <c r="AO17" i="4"/>
  <c r="AM17" i="4"/>
  <c r="AK17" i="4"/>
  <c r="AD17" i="4"/>
  <c r="AF17" i="4" s="1"/>
  <c r="W17" i="4"/>
  <c r="Y17" i="4" s="1"/>
  <c r="T17" i="4"/>
  <c r="P17" i="4"/>
  <c r="R17" i="4" s="1"/>
  <c r="M17" i="4"/>
  <c r="K17" i="4"/>
  <c r="I17" i="4"/>
  <c r="BK16" i="4"/>
  <c r="BF16" i="4"/>
  <c r="BH16" i="4" s="1"/>
  <c r="AY16" i="4"/>
  <c r="BA16" i="4" s="1"/>
  <c r="AV16" i="4"/>
  <c r="AR16" i="4"/>
  <c r="AT16" i="4" s="1"/>
  <c r="AO16" i="4"/>
  <c r="AM16" i="4"/>
  <c r="AK16" i="4"/>
  <c r="AD16" i="4"/>
  <c r="W16" i="4"/>
  <c r="Y16" i="4" s="1"/>
  <c r="T16" i="4"/>
  <c r="P16" i="4"/>
  <c r="R16" i="4" s="1"/>
  <c r="M16" i="4"/>
  <c r="K16" i="4"/>
  <c r="I16" i="4"/>
  <c r="BK15" i="4"/>
  <c r="BF15" i="4"/>
  <c r="AY15" i="4"/>
  <c r="BA15" i="4" s="1"/>
  <c r="AV15" i="4"/>
  <c r="AR15" i="4"/>
  <c r="AT15" i="4" s="1"/>
  <c r="AO15" i="4"/>
  <c r="AM15" i="4"/>
  <c r="AK15" i="4"/>
  <c r="AD15" i="4"/>
  <c r="BL15" i="4" s="1"/>
  <c r="W15" i="4"/>
  <c r="AA15" i="4" s="1"/>
  <c r="T15" i="4"/>
  <c r="P15" i="4"/>
  <c r="R15" i="4" s="1"/>
  <c r="M15" i="4"/>
  <c r="K15" i="4"/>
  <c r="I15" i="4"/>
  <c r="BK14" i="4"/>
  <c r="BF14" i="4"/>
  <c r="BJ14" i="4" s="1"/>
  <c r="AY14" i="4"/>
  <c r="AV14" i="4"/>
  <c r="AR14" i="4"/>
  <c r="AT14" i="4" s="1"/>
  <c r="AO14" i="4"/>
  <c r="AM14" i="4"/>
  <c r="AK14" i="4"/>
  <c r="AD14" i="4"/>
  <c r="AH14" i="4" s="1"/>
  <c r="W14" i="4"/>
  <c r="T14" i="4"/>
  <c r="P14" i="4"/>
  <c r="R14" i="4" s="1"/>
  <c r="M14" i="4"/>
  <c r="K14" i="4"/>
  <c r="I14" i="4"/>
  <c r="BK13" i="4"/>
  <c r="BH13" i="4"/>
  <c r="BF13" i="4"/>
  <c r="BJ13" i="4" s="1"/>
  <c r="AY13" i="4"/>
  <c r="AV13" i="4"/>
  <c r="AR13" i="4"/>
  <c r="AT13" i="4" s="1"/>
  <c r="AO13" i="4"/>
  <c r="AM13" i="4"/>
  <c r="AK13" i="4"/>
  <c r="AF13" i="4"/>
  <c r="AD13" i="4"/>
  <c r="AH13" i="4" s="1"/>
  <c r="W13" i="4"/>
  <c r="T13" i="4"/>
  <c r="P13" i="4"/>
  <c r="R13" i="4" s="1"/>
  <c r="M13" i="4"/>
  <c r="K13" i="4"/>
  <c r="I13" i="4"/>
  <c r="BK12" i="4"/>
  <c r="BF12" i="4"/>
  <c r="BJ12" i="4" s="1"/>
  <c r="AY12" i="4"/>
  <c r="AV12" i="4"/>
  <c r="AR12" i="4"/>
  <c r="AT12" i="4" s="1"/>
  <c r="AO12" i="4"/>
  <c r="AM12" i="4"/>
  <c r="AK12" i="4"/>
  <c r="AD12" i="4"/>
  <c r="AH12" i="4" s="1"/>
  <c r="W12" i="4"/>
  <c r="T12" i="4"/>
  <c r="P12" i="4"/>
  <c r="R12" i="4" s="1"/>
  <c r="M12" i="4"/>
  <c r="K12" i="4"/>
  <c r="I12" i="4"/>
  <c r="BK11" i="4"/>
  <c r="BF11" i="4"/>
  <c r="BJ11" i="4" s="1"/>
  <c r="AY11" i="4"/>
  <c r="AV11" i="4"/>
  <c r="AR11" i="4"/>
  <c r="AT11" i="4" s="1"/>
  <c r="AO11" i="4"/>
  <c r="AM11" i="4"/>
  <c r="AK11" i="4"/>
  <c r="AD11" i="4"/>
  <c r="AH11" i="4" s="1"/>
  <c r="W11" i="4"/>
  <c r="T11" i="4"/>
  <c r="P11" i="4"/>
  <c r="R11" i="4" s="1"/>
  <c r="M11" i="4"/>
  <c r="K11" i="4"/>
  <c r="I11" i="4"/>
  <c r="BK10" i="4"/>
  <c r="BF10" i="4"/>
  <c r="BJ10" i="4" s="1"/>
  <c r="AY10" i="4"/>
  <c r="AV10" i="4"/>
  <c r="AR10" i="4"/>
  <c r="AT10" i="4" s="1"/>
  <c r="AO10" i="4"/>
  <c r="AM10" i="4"/>
  <c r="AK10" i="4"/>
  <c r="AD10" i="4"/>
  <c r="AH10" i="4" s="1"/>
  <c r="W10" i="4"/>
  <c r="T10" i="4"/>
  <c r="P10" i="4"/>
  <c r="R10" i="4" s="1"/>
  <c r="M10" i="4"/>
  <c r="K10" i="4"/>
  <c r="I10" i="4"/>
  <c r="BK9" i="4"/>
  <c r="BH9" i="4"/>
  <c r="BF9" i="4"/>
  <c r="BJ9" i="4" s="1"/>
  <c r="AY9" i="4"/>
  <c r="AV9" i="4"/>
  <c r="AR9" i="4"/>
  <c r="AT9" i="4" s="1"/>
  <c r="AO9" i="4"/>
  <c r="AM9" i="4"/>
  <c r="AK9" i="4"/>
  <c r="AF9" i="4"/>
  <c r="AD9" i="4"/>
  <c r="AH9" i="4" s="1"/>
  <c r="W9" i="4"/>
  <c r="T9" i="4"/>
  <c r="P9" i="4"/>
  <c r="R9" i="4" s="1"/>
  <c r="M9" i="4"/>
  <c r="K9" i="4"/>
  <c r="I9" i="4"/>
  <c r="BK8" i="4"/>
  <c r="BF8" i="4"/>
  <c r="BJ8" i="4" s="1"/>
  <c r="AY8" i="4"/>
  <c r="AV8" i="4"/>
  <c r="AR8" i="4"/>
  <c r="AT8" i="4" s="1"/>
  <c r="AO8" i="4"/>
  <c r="AM8" i="4"/>
  <c r="AK8" i="4"/>
  <c r="AD8" i="4"/>
  <c r="AH8" i="4" s="1"/>
  <c r="W8" i="4"/>
  <c r="T8" i="4"/>
  <c r="P8" i="4"/>
  <c r="R8" i="4" s="1"/>
  <c r="M8" i="4"/>
  <c r="K8" i="4"/>
  <c r="I8" i="4"/>
  <c r="BK7" i="4"/>
  <c r="BF7" i="4"/>
  <c r="BJ7" i="4" s="1"/>
  <c r="AY7" i="4"/>
  <c r="AV7" i="4"/>
  <c r="AR7" i="4"/>
  <c r="AT7" i="4" s="1"/>
  <c r="AO7" i="4"/>
  <c r="AM7" i="4"/>
  <c r="AK7" i="4"/>
  <c r="AD7" i="4"/>
  <c r="AH7" i="4" s="1"/>
  <c r="W7" i="4"/>
  <c r="T7" i="4"/>
  <c r="P7" i="4"/>
  <c r="R7" i="4" s="1"/>
  <c r="M7" i="4"/>
  <c r="K7" i="4"/>
  <c r="I7" i="4"/>
  <c r="BK6" i="4"/>
  <c r="BF6" i="4"/>
  <c r="BJ6" i="4" s="1"/>
  <c r="AY6" i="4"/>
  <c r="AV6" i="4"/>
  <c r="AR6" i="4"/>
  <c r="AT6" i="4" s="1"/>
  <c r="AO6" i="4"/>
  <c r="AM6" i="4"/>
  <c r="AK6" i="4"/>
  <c r="AD6" i="4"/>
  <c r="AH6" i="4" s="1"/>
  <c r="W6" i="4"/>
  <c r="BL6" i="4" s="1"/>
  <c r="T6" i="4"/>
  <c r="P6" i="4"/>
  <c r="R6" i="4" s="1"/>
  <c r="M6" i="4"/>
  <c r="K6" i="4"/>
  <c r="I6" i="4"/>
  <c r="BK5" i="4"/>
  <c r="BH5" i="4"/>
  <c r="BF5" i="4"/>
  <c r="BJ5" i="4" s="1"/>
  <c r="AY5" i="4"/>
  <c r="AV5" i="4"/>
  <c r="AR5" i="4"/>
  <c r="AT5" i="4" s="1"/>
  <c r="AO5" i="4"/>
  <c r="AM5" i="4"/>
  <c r="AK5" i="4"/>
  <c r="AH5" i="4"/>
  <c r="AD5" i="4"/>
  <c r="AF5" i="4" s="1"/>
  <c r="W5" i="4"/>
  <c r="AA5" i="4" s="1"/>
  <c r="P5" i="4"/>
  <c r="R5" i="4" s="1"/>
  <c r="M5" i="4"/>
  <c r="K5" i="4"/>
  <c r="I5" i="4"/>
  <c r="BK4" i="4"/>
  <c r="BF4" i="4"/>
  <c r="BF38" i="4" s="1"/>
  <c r="AY4" i="4"/>
  <c r="AR4" i="4"/>
  <c r="AO4" i="4"/>
  <c r="AM4" i="4"/>
  <c r="AK4" i="4"/>
  <c r="AH4" i="4"/>
  <c r="AD4" i="4"/>
  <c r="W4" i="4"/>
  <c r="Y4" i="4" s="1"/>
  <c r="P4" i="4"/>
  <c r="M4" i="4"/>
  <c r="K4" i="4"/>
  <c r="I4" i="4"/>
  <c r="T47" i="1" l="1"/>
  <c r="AH47" i="1"/>
  <c r="M33" i="1"/>
  <c r="AO35" i="1"/>
  <c r="AH37" i="1"/>
  <c r="AQ7" i="1"/>
  <c r="AO34" i="1"/>
  <c r="BJ37" i="1"/>
  <c r="M39" i="1"/>
  <c r="AX39" i="1"/>
  <c r="AH40" i="1"/>
  <c r="I30" i="5"/>
  <c r="O30" i="5" s="1"/>
  <c r="V30" i="5"/>
  <c r="N30" i="5"/>
  <c r="V23" i="5"/>
  <c r="BC35" i="1"/>
  <c r="AX37" i="1"/>
  <c r="AH38" i="1"/>
  <c r="AX38" i="1"/>
  <c r="BJ39" i="1"/>
  <c r="AM19" i="1"/>
  <c r="AO19" i="1" s="1"/>
  <c r="AF19" i="1"/>
  <c r="AJ19" i="1" s="1"/>
  <c r="R19" i="1"/>
  <c r="T19" i="1" s="1"/>
  <c r="BH19" i="1"/>
  <c r="BL19" i="1" s="1"/>
  <c r="AT19" i="1"/>
  <c r="AV19" i="1" s="1"/>
  <c r="BA18" i="1"/>
  <c r="BC18" i="1" s="1"/>
  <c r="AM18" i="1"/>
  <c r="AO18" i="1" s="1"/>
  <c r="AF18" i="1"/>
  <c r="AJ18" i="1" s="1"/>
  <c r="BH18" i="1"/>
  <c r="BL18" i="1" s="1"/>
  <c r="R18" i="1"/>
  <c r="T18" i="1" s="1"/>
  <c r="AT18" i="1"/>
  <c r="AV18" i="1" s="1"/>
  <c r="K18" i="1"/>
  <c r="M18" i="1" s="1"/>
  <c r="Y19" i="1"/>
  <c r="AA19" i="1" s="1"/>
  <c r="BA19" i="1"/>
  <c r="BC19" i="1" s="1"/>
  <c r="K19" i="1"/>
  <c r="M19" i="1" s="1"/>
  <c r="Y18" i="1"/>
  <c r="AA18" i="1" s="1"/>
  <c r="V33" i="1"/>
  <c r="AX33" i="1"/>
  <c r="V34" i="1"/>
  <c r="AX34" i="1"/>
  <c r="V35" i="1"/>
  <c r="M37" i="1"/>
  <c r="AQ37" i="1"/>
  <c r="O38" i="1"/>
  <c r="AQ39" i="1"/>
  <c r="O40" i="1"/>
  <c r="AQ40" i="1"/>
  <c r="AA33" i="1"/>
  <c r="BC33" i="1"/>
  <c r="AA34" i="1"/>
  <c r="BC34" i="1"/>
  <c r="AA35" i="1"/>
  <c r="V38" i="1"/>
  <c r="O26" i="1"/>
  <c r="T37" i="1"/>
  <c r="AC37" i="1"/>
  <c r="BE37" i="1"/>
  <c r="AC38" i="1"/>
  <c r="BE38" i="1"/>
  <c r="AC39" i="1"/>
  <c r="BE39" i="1"/>
  <c r="AC40" i="1"/>
  <c r="AV40" i="1"/>
  <c r="BE40" i="1"/>
  <c r="BJ40" i="1"/>
  <c r="AV35" i="1"/>
  <c r="AH33" i="1"/>
  <c r="BJ33" i="1"/>
  <c r="AH34" i="1"/>
  <c r="BJ34" i="1"/>
  <c r="AH35" i="1"/>
  <c r="BJ35" i="1"/>
  <c r="V5" i="1"/>
  <c r="AO5" i="1"/>
  <c r="M7" i="1"/>
  <c r="O22" i="1"/>
  <c r="AH22" i="1"/>
  <c r="AX25" i="1"/>
  <c r="AQ26" i="1"/>
  <c r="O21" i="1"/>
  <c r="AH21" i="1"/>
  <c r="O23" i="1"/>
  <c r="V29" i="1"/>
  <c r="AO29" i="1"/>
  <c r="BN47" i="1"/>
  <c r="AV47" i="1"/>
  <c r="BJ47" i="1"/>
  <c r="AO13" i="1"/>
  <c r="V26" i="1"/>
  <c r="AA47" i="1"/>
  <c r="BC47" i="1"/>
  <c r="M47" i="1"/>
  <c r="AH23" i="1"/>
  <c r="O29" i="1"/>
  <c r="V13" i="1"/>
  <c r="V15" i="1"/>
  <c r="AO15" i="1"/>
  <c r="AX27" i="1"/>
  <c r="M31" i="1"/>
  <c r="AH31" i="1"/>
  <c r="V27" i="1"/>
  <c r="AO27" i="1"/>
  <c r="V31" i="1"/>
  <c r="O20" i="1"/>
  <c r="AH20" i="1"/>
  <c r="AQ10" i="1"/>
  <c r="V14" i="1"/>
  <c r="AO14" i="1"/>
  <c r="M5" i="1"/>
  <c r="O6" i="1"/>
  <c r="V7" i="1"/>
  <c r="O10" i="1"/>
  <c r="AH10" i="1"/>
  <c r="BJ18" i="1"/>
  <c r="AQ20" i="1"/>
  <c r="BJ20" i="1"/>
  <c r="AQ21" i="1"/>
  <c r="M25" i="1"/>
  <c r="AQ25" i="1"/>
  <c r="AX26" i="1"/>
  <c r="M27" i="1"/>
  <c r="AX29" i="1"/>
  <c r="AQ31" i="1"/>
  <c r="AX6" i="1"/>
  <c r="M13" i="1"/>
  <c r="AX13" i="1"/>
  <c r="M14" i="1"/>
  <c r="AX14" i="1"/>
  <c r="M15" i="1"/>
  <c r="AQ22" i="1"/>
  <c r="BJ22" i="1"/>
  <c r="AQ23" i="1"/>
  <c r="V25" i="1"/>
  <c r="BA27" i="4"/>
  <c r="AH27" i="4"/>
  <c r="Y27" i="4"/>
  <c r="AC31" i="1"/>
  <c r="AV31" i="1"/>
  <c r="BE31" i="1"/>
  <c r="BJ31" i="1"/>
  <c r="BM27" i="4"/>
  <c r="BA26" i="4"/>
  <c r="BM26" i="4" s="1"/>
  <c r="BN26" i="4" s="1"/>
  <c r="Y26" i="4"/>
  <c r="AC29" i="1"/>
  <c r="BE29" i="1"/>
  <c r="BL27" i="4"/>
  <c r="BN27" i="4" s="1"/>
  <c r="AH29" i="1"/>
  <c r="BJ29" i="1"/>
  <c r="AC25" i="1"/>
  <c r="BE25" i="1"/>
  <c r="AC26" i="1"/>
  <c r="BE26" i="1"/>
  <c r="AC27" i="1"/>
  <c r="BE27" i="1"/>
  <c r="AH25" i="1"/>
  <c r="BJ25" i="1"/>
  <c r="AH26" i="1"/>
  <c r="BJ26" i="1"/>
  <c r="AH27" i="1"/>
  <c r="BJ27" i="1"/>
  <c r="AO6" i="1"/>
  <c r="AX5" i="1"/>
  <c r="AX7" i="1"/>
  <c r="AH13" i="1"/>
  <c r="BJ13" i="1"/>
  <c r="AH14" i="1"/>
  <c r="BJ14" i="1"/>
  <c r="AH15" i="1"/>
  <c r="O24" i="1"/>
  <c r="AH24" i="1"/>
  <c r="AQ24" i="1"/>
  <c r="BJ21" i="1"/>
  <c r="V6" i="1"/>
  <c r="V20" i="1"/>
  <c r="AX20" i="1"/>
  <c r="V21" i="1"/>
  <c r="AX21" i="1"/>
  <c r="V22" i="1"/>
  <c r="AX22" i="1"/>
  <c r="V23" i="1"/>
  <c r="AX23" i="1"/>
  <c r="T24" i="1"/>
  <c r="AC24" i="1"/>
  <c r="AV24" i="1"/>
  <c r="BE24" i="1"/>
  <c r="BJ24" i="1"/>
  <c r="AC20" i="1"/>
  <c r="BE20" i="1"/>
  <c r="AC21" i="1"/>
  <c r="BE21" i="1"/>
  <c r="AC22" i="1"/>
  <c r="BE22" i="1"/>
  <c r="AC23" i="1"/>
  <c r="BE23" i="1"/>
  <c r="BJ23" i="1"/>
  <c r="AC13" i="1"/>
  <c r="BE13" i="1"/>
  <c r="AC14" i="1"/>
  <c r="BE14" i="1"/>
  <c r="AC15" i="1"/>
  <c r="AV15" i="1"/>
  <c r="BE15" i="1"/>
  <c r="BJ15" i="1"/>
  <c r="T10" i="1"/>
  <c r="AC10" i="1"/>
  <c r="AV10" i="1"/>
  <c r="BE10" i="1"/>
  <c r="BJ10" i="1"/>
  <c r="AC5" i="1"/>
  <c r="BE5" i="1"/>
  <c r="AC6" i="1"/>
  <c r="BE6" i="1"/>
  <c r="AC7" i="1"/>
  <c r="BE7" i="1"/>
  <c r="AH5" i="1"/>
  <c r="BJ5" i="1"/>
  <c r="AH6" i="1"/>
  <c r="BJ6" i="1"/>
  <c r="AH7" i="1"/>
  <c r="BJ7" i="1"/>
  <c r="Y7" i="4"/>
  <c r="AA7" i="4"/>
  <c r="BH4" i="4"/>
  <c r="Y5" i="4"/>
  <c r="Y38" i="4" s="1"/>
  <c r="AF8" i="4"/>
  <c r="Y10" i="4"/>
  <c r="AA10" i="4"/>
  <c r="P38" i="4"/>
  <c r="R4" i="4"/>
  <c r="AD38" i="4"/>
  <c r="AY38" i="4"/>
  <c r="BC4" i="4"/>
  <c r="BJ4" i="4"/>
  <c r="BL5" i="4"/>
  <c r="AF7" i="4"/>
  <c r="Y9" i="4"/>
  <c r="AA9" i="4"/>
  <c r="BL9" i="4"/>
  <c r="AF11" i="4"/>
  <c r="AA13" i="4"/>
  <c r="Y13" i="4"/>
  <c r="BC13" i="4"/>
  <c r="BM13" i="4" s="1"/>
  <c r="BA13" i="4"/>
  <c r="BL13" i="4"/>
  <c r="T4" i="4"/>
  <c r="AF4" i="4"/>
  <c r="BA4" i="4"/>
  <c r="T5" i="4"/>
  <c r="AF6" i="4"/>
  <c r="BH6" i="4"/>
  <c r="BM6" i="4" s="1"/>
  <c r="BN6" i="4" s="1"/>
  <c r="Y8" i="4"/>
  <c r="AA8" i="4"/>
  <c r="BC8" i="4"/>
  <c r="BA8" i="4"/>
  <c r="BL8" i="4"/>
  <c r="AF10" i="4"/>
  <c r="BH10" i="4"/>
  <c r="Y12" i="4"/>
  <c r="AA12" i="4"/>
  <c r="BC12" i="4"/>
  <c r="BA12" i="4"/>
  <c r="BL12" i="4"/>
  <c r="AF14" i="4"/>
  <c r="BH14" i="4"/>
  <c r="BM14" i="4" s="1"/>
  <c r="W38" i="4"/>
  <c r="AA4" i="4"/>
  <c r="BL4" i="4"/>
  <c r="BC7" i="4"/>
  <c r="BA7" i="4"/>
  <c r="BL7" i="4"/>
  <c r="AA11" i="4"/>
  <c r="Y11" i="4"/>
  <c r="BA11" i="4"/>
  <c r="BC11" i="4"/>
  <c r="BL11" i="4"/>
  <c r="BH15" i="4"/>
  <c r="BJ15" i="4"/>
  <c r="AR38" i="4"/>
  <c r="AT4" i="4"/>
  <c r="AV4" i="4"/>
  <c r="BA6" i="4"/>
  <c r="BC6" i="4"/>
  <c r="BH8" i="4"/>
  <c r="BM8" i="4" s="1"/>
  <c r="BC10" i="4"/>
  <c r="BM10" i="4" s="1"/>
  <c r="BA10" i="4"/>
  <c r="BL10" i="4"/>
  <c r="AF12" i="4"/>
  <c r="BH12" i="4"/>
  <c r="BM12" i="4" s="1"/>
  <c r="AA14" i="4"/>
  <c r="Y14" i="4"/>
  <c r="BC14" i="4"/>
  <c r="BA14" i="4"/>
  <c r="BL14" i="4"/>
  <c r="AH15" i="4"/>
  <c r="AH38" i="4" s="1"/>
  <c r="AF15" i="4"/>
  <c r="AH16" i="4"/>
  <c r="AF16" i="4"/>
  <c r="BL16" i="4"/>
  <c r="AA6" i="4"/>
  <c r="Y6" i="4"/>
  <c r="BC5" i="4"/>
  <c r="BA5" i="4"/>
  <c r="BM5" i="4" s="1"/>
  <c r="BH7" i="4"/>
  <c r="BM7" i="4" s="1"/>
  <c r="BA9" i="4"/>
  <c r="BM9" i="4" s="1"/>
  <c r="BC9" i="4"/>
  <c r="BH11" i="4"/>
  <c r="BM11" i="4" s="1"/>
  <c r="Y15" i="4"/>
  <c r="BJ16" i="4"/>
  <c r="AH17" i="4"/>
  <c r="BA17" i="4"/>
  <c r="AH19" i="4"/>
  <c r="I38" i="4"/>
  <c r="AK38" i="4"/>
  <c r="BC15" i="4"/>
  <c r="AA16" i="4"/>
  <c r="BC16" i="4"/>
  <c r="AA17" i="4"/>
  <c r="AA18" i="4"/>
  <c r="BC18" i="4"/>
  <c r="AA19" i="4"/>
  <c r="BC19" i="4"/>
  <c r="AA20" i="4"/>
  <c r="BC20" i="4"/>
  <c r="AA21" i="4"/>
  <c r="BC21" i="4"/>
  <c r="BM21" i="4" s="1"/>
  <c r="AA22" i="4"/>
  <c r="BC22" i="4"/>
  <c r="K23" i="4"/>
  <c r="AH23" i="4"/>
  <c r="BL23" i="4"/>
  <c r="AV24" i="4"/>
  <c r="BM24" i="4" s="1"/>
  <c r="BN24" i="4" s="1"/>
  <c r="AM25" i="4"/>
  <c r="BJ25" i="4"/>
  <c r="AT29" i="4"/>
  <c r="AA30" i="4"/>
  <c r="R31" i="4"/>
  <c r="AO31" i="4"/>
  <c r="BL32" i="4"/>
  <c r="K32" i="4"/>
  <c r="BC32" i="4"/>
  <c r="AT33" i="4"/>
  <c r="R34" i="4"/>
  <c r="T34" i="4"/>
  <c r="AT34" i="4"/>
  <c r="AV34" i="4"/>
  <c r="BL36" i="4"/>
  <c r="Y36" i="4"/>
  <c r="R37" i="4"/>
  <c r="T37" i="4"/>
  <c r="BL17" i="4"/>
  <c r="BL18" i="4"/>
  <c r="BL19" i="4"/>
  <c r="BL20" i="4"/>
  <c r="BL21" i="4"/>
  <c r="BL22" i="4"/>
  <c r="BL31" i="4"/>
  <c r="K31" i="4"/>
  <c r="BH17" i="4"/>
  <c r="BM17" i="4" s="1"/>
  <c r="AF18" i="4"/>
  <c r="BH18" i="4"/>
  <c r="BM18" i="4" s="1"/>
  <c r="BH19" i="4"/>
  <c r="BM19" i="4" s="1"/>
  <c r="AF20" i="4"/>
  <c r="BH20" i="4"/>
  <c r="BM20" i="4" s="1"/>
  <c r="AF21" i="4"/>
  <c r="BH21" i="4"/>
  <c r="AF22" i="4"/>
  <c r="BH22" i="4"/>
  <c r="BM22" i="4" s="1"/>
  <c r="R23" i="4"/>
  <c r="AM23" i="4"/>
  <c r="BJ23" i="4"/>
  <c r="K25" i="4"/>
  <c r="AH25" i="4"/>
  <c r="AT25" i="4"/>
  <c r="BL25" i="4"/>
  <c r="R29" i="4"/>
  <c r="AO29" i="4"/>
  <c r="AO38" i="4" s="1"/>
  <c r="BA29" i="4"/>
  <c r="BM29" i="4" s="1"/>
  <c r="BL30" i="4"/>
  <c r="K30" i="4"/>
  <c r="M31" i="4"/>
  <c r="Y31" i="4"/>
  <c r="BM31" i="4" s="1"/>
  <c r="AT31" i="4"/>
  <c r="R33" i="4"/>
  <c r="AO33" i="4"/>
  <c r="BA33" i="4"/>
  <c r="BM33" i="4" s="1"/>
  <c r="BL34" i="4"/>
  <c r="K34" i="4"/>
  <c r="Y34" i="4"/>
  <c r="BA34" i="4"/>
  <c r="BM34" i="4" s="1"/>
  <c r="R36" i="4"/>
  <c r="T36" i="4"/>
  <c r="AT36" i="4"/>
  <c r="AV36" i="4"/>
  <c r="BM36" i="4" s="1"/>
  <c r="K24" i="4"/>
  <c r="K38" i="4" s="1"/>
  <c r="AH24" i="4"/>
  <c r="BL24" i="4"/>
  <c r="AM38" i="4"/>
  <c r="BL29" i="4"/>
  <c r="K29" i="4"/>
  <c r="M30" i="4"/>
  <c r="M38" i="4" s="1"/>
  <c r="AT30" i="4"/>
  <c r="BM30" i="4" s="1"/>
  <c r="BN30" i="4" s="1"/>
  <c r="R32" i="4"/>
  <c r="AO32" i="4"/>
  <c r="BL33" i="4"/>
  <c r="K33" i="4"/>
  <c r="M34" i="4"/>
  <c r="R35" i="4"/>
  <c r="T35" i="4"/>
  <c r="AT35" i="4"/>
  <c r="AV35" i="4"/>
  <c r="BM35" i="4" s="1"/>
  <c r="BN35" i="4" s="1"/>
  <c r="K35" i="4"/>
  <c r="K36" i="4"/>
  <c r="K37" i="4"/>
  <c r="BM37" i="4" s="1"/>
  <c r="BN37" i="4" s="1"/>
  <c r="AV37" i="4"/>
  <c r="R41" i="4"/>
  <c r="AA41" i="4"/>
  <c r="BC41" i="4"/>
  <c r="BM41" i="4" s="1"/>
  <c r="BN41" i="4" s="1"/>
  <c r="BJ19" i="1" l="1"/>
  <c r="BE18" i="1"/>
  <c r="V19" i="1"/>
  <c r="AH19" i="1"/>
  <c r="V18" i="1"/>
  <c r="AQ19" i="1"/>
  <c r="AX19" i="1"/>
  <c r="AH18" i="1"/>
  <c r="AC18" i="1"/>
  <c r="AX18" i="1"/>
  <c r="AQ18" i="1"/>
  <c r="O18" i="1"/>
  <c r="BE19" i="1"/>
  <c r="AC19" i="1"/>
  <c r="O19" i="1"/>
  <c r="BO47" i="1"/>
  <c r="BN31" i="4"/>
  <c r="BN20" i="4"/>
  <c r="BN34" i="4"/>
  <c r="BN19" i="4"/>
  <c r="BM32" i="4"/>
  <c r="BL38" i="4"/>
  <c r="BM16" i="4"/>
  <c r="BN16" i="4" s="1"/>
  <c r="AT38" i="4"/>
  <c r="BN7" i="4"/>
  <c r="AA38" i="4"/>
  <c r="AF38" i="4"/>
  <c r="BJ38" i="4"/>
  <c r="BM4" i="4"/>
  <c r="R38" i="4"/>
  <c r="BN29" i="4"/>
  <c r="BN22" i="4"/>
  <c r="BN18" i="4"/>
  <c r="BN10" i="4"/>
  <c r="BM15" i="4"/>
  <c r="BN15" i="4" s="1"/>
  <c r="T38" i="4"/>
  <c r="BN13" i="4"/>
  <c r="BC38" i="4"/>
  <c r="BN21" i="4"/>
  <c r="BN17" i="4"/>
  <c r="BN36" i="4"/>
  <c r="BN32" i="4"/>
  <c r="BN23" i="4"/>
  <c r="BN14" i="4"/>
  <c r="BN8" i="4"/>
  <c r="BA38" i="4"/>
  <c r="BH38" i="4"/>
  <c r="BN33" i="4"/>
  <c r="BM23" i="4"/>
  <c r="BM25" i="4"/>
  <c r="BN25" i="4" s="1"/>
  <c r="AV38" i="4"/>
  <c r="BN11" i="4"/>
  <c r="BN4" i="4"/>
  <c r="BN12" i="4"/>
  <c r="BN9" i="4"/>
  <c r="BN5" i="4"/>
  <c r="BM38" i="4" l="1"/>
  <c r="V13" i="2" l="1"/>
  <c r="V14" i="2"/>
  <c r="V15" i="2"/>
  <c r="V16" i="2"/>
  <c r="V17" i="2"/>
  <c r="V64" i="2"/>
  <c r="V74" i="2"/>
  <c r="V8" i="2"/>
  <c r="V12" i="2"/>
  <c r="F44" i="2"/>
  <c r="F51" i="2"/>
  <c r="F87" i="2"/>
  <c r="F86" i="2"/>
  <c r="F85" i="2"/>
  <c r="F84" i="2"/>
  <c r="I83" i="2"/>
  <c r="O83" i="2" s="1"/>
  <c r="I82" i="2"/>
  <c r="O82" i="2" s="1"/>
  <c r="D29" i="1"/>
  <c r="H87" i="2"/>
  <c r="N87" i="2" s="1"/>
  <c r="F28" i="1"/>
  <c r="I84" i="2" s="1"/>
  <c r="O84" i="2" s="1"/>
  <c r="F34" i="2"/>
  <c r="H34" i="2"/>
  <c r="N34" i="2" s="1"/>
  <c r="H33" i="2"/>
  <c r="N33" i="2" s="1"/>
  <c r="F33" i="2"/>
  <c r="F70" i="2"/>
  <c r="H70" i="2"/>
  <c r="N70" i="2" s="1"/>
  <c r="H69" i="2"/>
  <c r="N69" i="2" s="1"/>
  <c r="F69" i="2"/>
  <c r="F30" i="2"/>
  <c r="H30" i="2"/>
  <c r="N30" i="2" s="1"/>
  <c r="H29" i="2"/>
  <c r="N29" i="2" s="1"/>
  <c r="F29" i="2"/>
  <c r="F80" i="2"/>
  <c r="H80" i="2"/>
  <c r="N80" i="2" s="1"/>
  <c r="H79" i="2"/>
  <c r="N79" i="2" s="1"/>
  <c r="F79" i="2"/>
  <c r="F92" i="2"/>
  <c r="F58" i="2"/>
  <c r="H58" i="2"/>
  <c r="N58" i="2" s="1"/>
  <c r="H57" i="2"/>
  <c r="N57" i="2" s="1"/>
  <c r="F57" i="2"/>
  <c r="F40" i="2"/>
  <c r="F38" i="2"/>
  <c r="H40" i="2"/>
  <c r="N40" i="2" s="1"/>
  <c r="H38" i="2"/>
  <c r="N38" i="2" s="1"/>
  <c r="F39" i="2"/>
  <c r="H39" i="2"/>
  <c r="N39" i="2" s="1"/>
  <c r="H37" i="2"/>
  <c r="N37" i="2" s="1"/>
  <c r="F37" i="2"/>
  <c r="F56" i="2"/>
  <c r="H56" i="2"/>
  <c r="N56" i="2" s="1"/>
  <c r="H55" i="2"/>
  <c r="N55" i="2" s="1"/>
  <c r="F55" i="2"/>
  <c r="F32" i="2"/>
  <c r="H32" i="2"/>
  <c r="N32" i="2" s="1"/>
  <c r="H31" i="2"/>
  <c r="N31" i="2" s="1"/>
  <c r="F31" i="2"/>
  <c r="H48" i="2"/>
  <c r="N48" i="2" s="1"/>
  <c r="H44" i="2"/>
  <c r="N44" i="2" s="1"/>
  <c r="H47" i="2"/>
  <c r="N47" i="2" s="1"/>
  <c r="H43" i="2"/>
  <c r="N43" i="2" s="1"/>
  <c r="H46" i="2"/>
  <c r="N46" i="2" s="1"/>
  <c r="H42" i="2"/>
  <c r="N42" i="2" s="1"/>
  <c r="F54" i="2"/>
  <c r="F50" i="2"/>
  <c r="H54" i="2"/>
  <c r="N54" i="2" s="1"/>
  <c r="H51" i="2"/>
  <c r="N51" i="2" s="1"/>
  <c r="H53" i="2"/>
  <c r="N53" i="2" s="1"/>
  <c r="H50" i="2"/>
  <c r="N50" i="2" s="1"/>
  <c r="F52" i="2"/>
  <c r="H52" i="2"/>
  <c r="N52" i="2" s="1"/>
  <c r="H49" i="2"/>
  <c r="N49" i="2" s="1"/>
  <c r="F49" i="2"/>
  <c r="F48" i="2"/>
  <c r="F43" i="2"/>
  <c r="H84" i="2" l="1"/>
  <c r="H85" i="2"/>
  <c r="F82" i="2"/>
  <c r="F83" i="2"/>
  <c r="H83" i="2"/>
  <c r="N83" i="2" s="1"/>
  <c r="I85" i="2"/>
  <c r="O85" i="2" s="1"/>
  <c r="F30" i="1"/>
  <c r="H82" i="2"/>
  <c r="N82" i="2" s="1"/>
  <c r="H86" i="2"/>
  <c r="V70" i="2"/>
  <c r="V43" i="2"/>
  <c r="V48" i="2"/>
  <c r="V50" i="2"/>
  <c r="V31" i="2"/>
  <c r="V69" i="2"/>
  <c r="V49" i="2"/>
  <c r="V57" i="2"/>
  <c r="V79" i="2"/>
  <c r="V55" i="2"/>
  <c r="V37" i="2"/>
  <c r="V39" i="2"/>
  <c r="V40" i="2"/>
  <c r="V33" i="2"/>
  <c r="V34" i="2"/>
  <c r="V58" i="2"/>
  <c r="V38" i="2"/>
  <c r="V29" i="2"/>
  <c r="V87" i="2"/>
  <c r="V51" i="2"/>
  <c r="V52" i="2"/>
  <c r="V54" i="2"/>
  <c r="V32" i="2"/>
  <c r="V56" i="2"/>
  <c r="V80" i="2"/>
  <c r="V30" i="2"/>
  <c r="V44" i="2"/>
  <c r="F47" i="2"/>
  <c r="V47" i="2" s="1"/>
  <c r="F53" i="2"/>
  <c r="V53" i="2" s="1"/>
  <c r="V85" i="2" l="1"/>
  <c r="N85" i="2"/>
  <c r="V86" i="2"/>
  <c r="N86" i="2"/>
  <c r="V84" i="2"/>
  <c r="N84" i="2"/>
  <c r="V83" i="2"/>
  <c r="V82" i="2"/>
  <c r="I86" i="2"/>
  <c r="O86" i="2" s="1"/>
  <c r="I87" i="2"/>
  <c r="O87" i="2" s="1"/>
  <c r="F46" i="2" l="1"/>
  <c r="V46" i="2" s="1"/>
  <c r="F42" i="2"/>
  <c r="V42" i="2" s="1"/>
  <c r="F45" i="2"/>
  <c r="H45" i="2"/>
  <c r="N45" i="2" s="1"/>
  <c r="H41" i="2"/>
  <c r="N41" i="2" s="1"/>
  <c r="F41" i="2"/>
  <c r="F36" i="2"/>
  <c r="H36" i="2"/>
  <c r="N36" i="2" s="1"/>
  <c r="F35" i="2"/>
  <c r="H35" i="2"/>
  <c r="N35" i="2" s="1"/>
  <c r="V45" i="2" l="1"/>
  <c r="V35" i="2"/>
  <c r="V36" i="2"/>
  <c r="V41" i="2"/>
  <c r="F91" i="2" l="1"/>
  <c r="H91" i="2"/>
  <c r="N91" i="2" s="1"/>
  <c r="H90" i="2"/>
  <c r="N90" i="2" s="1"/>
  <c r="F90" i="2"/>
  <c r="H81" i="2"/>
  <c r="N81" i="2" s="1"/>
  <c r="F81" i="2"/>
  <c r="H7" i="2"/>
  <c r="N7" i="2" s="1"/>
  <c r="H6" i="2"/>
  <c r="N6" i="2" s="1"/>
  <c r="F7" i="2"/>
  <c r="F6" i="2"/>
  <c r="F68" i="2"/>
  <c r="H68" i="2"/>
  <c r="N68" i="2" s="1"/>
  <c r="H67" i="2"/>
  <c r="N67" i="2" s="1"/>
  <c r="F67" i="2"/>
  <c r="F66" i="2"/>
  <c r="H66" i="2"/>
  <c r="N66" i="2" s="1"/>
  <c r="H65" i="2"/>
  <c r="N65" i="2" s="1"/>
  <c r="F65" i="2"/>
  <c r="H23" i="2"/>
  <c r="N23" i="2" s="1"/>
  <c r="F23" i="2"/>
  <c r="H92" i="2"/>
  <c r="F59" i="2"/>
  <c r="V59" i="2" s="1"/>
  <c r="F22" i="2"/>
  <c r="V22" i="2" s="1"/>
  <c r="H60" i="2"/>
  <c r="H75" i="2"/>
  <c r="H19" i="2"/>
  <c r="H24" i="2"/>
  <c r="H18" i="2"/>
  <c r="N18" i="2" s="1"/>
  <c r="M30" i="2"/>
  <c r="M29" i="2"/>
  <c r="V60" i="2" l="1"/>
  <c r="N60" i="2"/>
  <c r="V24" i="2"/>
  <c r="N24" i="2"/>
  <c r="V19" i="2"/>
  <c r="N19" i="2"/>
  <c r="V75" i="2"/>
  <c r="N75" i="2"/>
  <c r="V92" i="2"/>
  <c r="N92" i="2"/>
  <c r="V6" i="2"/>
  <c r="V65" i="2"/>
  <c r="V67" i="2"/>
  <c r="V90" i="2"/>
  <c r="V91" i="2"/>
  <c r="V81" i="2"/>
  <c r="V21" i="2"/>
  <c r="V66" i="2"/>
  <c r="V68" i="2"/>
  <c r="V7" i="2"/>
  <c r="V20" i="2"/>
  <c r="V23" i="2"/>
  <c r="I74" i="2"/>
  <c r="O74" i="2" s="1"/>
  <c r="V18" i="2"/>
  <c r="I64" i="2"/>
  <c r="O64" i="2" s="1"/>
  <c r="BM43" i="1" l="1"/>
  <c r="I23" i="2"/>
  <c r="O23" i="2" s="1"/>
  <c r="BO45" i="1"/>
  <c r="BM45" i="1"/>
  <c r="K45" i="1"/>
  <c r="BN45" i="1" s="1"/>
  <c r="K44" i="1"/>
  <c r="BO43" i="1"/>
  <c r="K43" i="1"/>
  <c r="BN43" i="1" s="1"/>
  <c r="BF42" i="1"/>
  <c r="AY42" i="1"/>
  <c r="AR42" i="1"/>
  <c r="AK42" i="1"/>
  <c r="AD42" i="1"/>
  <c r="W42" i="1"/>
  <c r="P42" i="1"/>
  <c r="G42" i="1"/>
  <c r="BM41" i="1"/>
  <c r="BH41" i="1"/>
  <c r="BA41" i="1"/>
  <c r="AT41" i="1"/>
  <c r="AM41" i="1"/>
  <c r="AF41" i="1"/>
  <c r="Y41" i="1"/>
  <c r="R41" i="1"/>
  <c r="K41" i="1"/>
  <c r="BM39" i="1"/>
  <c r="BM37" i="1"/>
  <c r="BM33" i="1"/>
  <c r="BO32" i="1"/>
  <c r="F17" i="1"/>
  <c r="BH17" i="1" s="1"/>
  <c r="F16" i="1"/>
  <c r="AT16" i="1" s="1"/>
  <c r="I24" i="2"/>
  <c r="O24" i="2" s="1"/>
  <c r="BM13" i="1"/>
  <c r="I18" i="2"/>
  <c r="O18" i="2" s="1"/>
  <c r="F9" i="1"/>
  <c r="BM9" i="1" s="1"/>
  <c r="BM8" i="1"/>
  <c r="BH8" i="1"/>
  <c r="BA8" i="1"/>
  <c r="AT8" i="1"/>
  <c r="AM8" i="1"/>
  <c r="AO8" i="1" s="1"/>
  <c r="AF8" i="1"/>
  <c r="Y8" i="1"/>
  <c r="R8" i="1"/>
  <c r="K8" i="1"/>
  <c r="F4" i="1"/>
  <c r="BM4" i="1" s="1"/>
  <c r="K9" i="1" l="1"/>
  <c r="O9" i="1" s="1"/>
  <c r="I36" i="2"/>
  <c r="O36" i="2" s="1"/>
  <c r="I35" i="2"/>
  <c r="O35" i="2" s="1"/>
  <c r="I34" i="2"/>
  <c r="O34" i="2" s="1"/>
  <c r="I33" i="2"/>
  <c r="O33" i="2" s="1"/>
  <c r="BM27" i="1"/>
  <c r="I69" i="2"/>
  <c r="O69" i="2" s="1"/>
  <c r="I70" i="2"/>
  <c r="O70" i="2" s="1"/>
  <c r="BM26" i="1"/>
  <c r="I30" i="2"/>
  <c r="O30" i="2" s="1"/>
  <c r="I29" i="2"/>
  <c r="O29" i="2" s="1"/>
  <c r="BL8" i="1"/>
  <c r="I6" i="2"/>
  <c r="O6" i="2" s="1"/>
  <c r="BM38" i="1"/>
  <c r="I81" i="2"/>
  <c r="O81" i="2" s="1"/>
  <c r="BC8" i="1"/>
  <c r="I67" i="2"/>
  <c r="O67" i="2" s="1"/>
  <c r="I68" i="2"/>
  <c r="O68" i="2" s="1"/>
  <c r="I7" i="2"/>
  <c r="O7" i="2" s="1"/>
  <c r="I19" i="2"/>
  <c r="O19" i="2" s="1"/>
  <c r="BM6" i="1"/>
  <c r="I60" i="2"/>
  <c r="O60" i="2" s="1"/>
  <c r="BN8" i="1"/>
  <c r="BM15" i="1"/>
  <c r="I22" i="2"/>
  <c r="O22" i="2" s="1"/>
  <c r="AO41" i="1"/>
  <c r="BA4" i="1"/>
  <c r="BC4" i="1" s="1"/>
  <c r="V8" i="1"/>
  <c r="AJ8" i="1"/>
  <c r="BM11" i="1"/>
  <c r="I59" i="2"/>
  <c r="O59" i="2" s="1"/>
  <c r="I92" i="2"/>
  <c r="O92" i="2" s="1"/>
  <c r="AF16" i="1"/>
  <c r="AH16" i="1" s="1"/>
  <c r="AQ41" i="1"/>
  <c r="BE41" i="1"/>
  <c r="BP45" i="1"/>
  <c r="I75" i="2"/>
  <c r="O75" i="2" s="1"/>
  <c r="Y4" i="1"/>
  <c r="AA4" i="1" s="1"/>
  <c r="BM12" i="1"/>
  <c r="Y16" i="1"/>
  <c r="AC16" i="1" s="1"/>
  <c r="BH16" i="1"/>
  <c r="O41" i="1"/>
  <c r="BC41" i="1"/>
  <c r="BP43" i="1"/>
  <c r="AX8" i="1"/>
  <c r="AA41" i="1"/>
  <c r="BA16" i="1"/>
  <c r="BE16" i="1" s="1"/>
  <c r="M41" i="1"/>
  <c r="AC41" i="1"/>
  <c r="AX16" i="1"/>
  <c r="Y17" i="1"/>
  <c r="BM7" i="1"/>
  <c r="K16" i="1"/>
  <c r="AM16" i="1"/>
  <c r="BM16" i="1"/>
  <c r="BA17" i="1"/>
  <c r="BC17" i="1" s="1"/>
  <c r="BM17" i="1"/>
  <c r="R16" i="1"/>
  <c r="K17" i="1"/>
  <c r="O17" i="1" s="1"/>
  <c r="AM17" i="1"/>
  <c r="AQ8" i="1"/>
  <c r="BH9" i="1"/>
  <c r="AT9" i="1"/>
  <c r="AF9" i="1"/>
  <c r="R9" i="1"/>
  <c r="BM14" i="1"/>
  <c r="BM31" i="1"/>
  <c r="BM35" i="1"/>
  <c r="BE8" i="1"/>
  <c r="BJ17" i="1"/>
  <c r="BM24" i="1"/>
  <c r="Y9" i="1"/>
  <c r="K4" i="1"/>
  <c r="AM4" i="1"/>
  <c r="M8" i="1"/>
  <c r="AM9" i="1"/>
  <c r="BL17" i="1"/>
  <c r="BM5" i="1"/>
  <c r="AC8" i="1"/>
  <c r="BH4" i="1"/>
  <c r="AT4" i="1"/>
  <c r="AF4" i="1"/>
  <c r="R4" i="1"/>
  <c r="O8" i="1"/>
  <c r="AQ17" i="1"/>
  <c r="AA8" i="1"/>
  <c r="BA9" i="1"/>
  <c r="T8" i="1"/>
  <c r="AH8" i="1"/>
  <c r="AV8" i="1"/>
  <c r="BJ8" i="1"/>
  <c r="AV16" i="1"/>
  <c r="R17" i="1"/>
  <c r="AF17" i="1"/>
  <c r="AT17" i="1"/>
  <c r="BM29" i="1"/>
  <c r="BM40" i="1"/>
  <c r="T41" i="1"/>
  <c r="V41" i="1"/>
  <c r="AH41" i="1"/>
  <c r="AJ41" i="1"/>
  <c r="AV41" i="1"/>
  <c r="AX41" i="1"/>
  <c r="BJ41" i="1"/>
  <c r="BL41" i="1"/>
  <c r="BN41" i="1"/>
  <c r="M9" i="1" l="1"/>
  <c r="AA16" i="1"/>
  <c r="BE4" i="1"/>
  <c r="BC16" i="1"/>
  <c r="BN7" i="1"/>
  <c r="AO17" i="1"/>
  <c r="AA17" i="1"/>
  <c r="AJ16" i="1"/>
  <c r="I31" i="2"/>
  <c r="O31" i="2" s="1"/>
  <c r="I32" i="2"/>
  <c r="O32" i="2" s="1"/>
  <c r="I79" i="2"/>
  <c r="O79" i="2" s="1"/>
  <c r="I80" i="2"/>
  <c r="O80" i="2" s="1"/>
  <c r="I57" i="2"/>
  <c r="O57" i="2" s="1"/>
  <c r="I58" i="2"/>
  <c r="O58" i="2" s="1"/>
  <c r="I44" i="2"/>
  <c r="O44" i="2" s="1"/>
  <c r="I47" i="2"/>
  <c r="O47" i="2" s="1"/>
  <c r="I43" i="2"/>
  <c r="O43" i="2" s="1"/>
  <c r="I48" i="2"/>
  <c r="O48" i="2" s="1"/>
  <c r="I42" i="2"/>
  <c r="O42" i="2" s="1"/>
  <c r="I45" i="2"/>
  <c r="O45" i="2" s="1"/>
  <c r="I41" i="2"/>
  <c r="O41" i="2" s="1"/>
  <c r="I46" i="2"/>
  <c r="O46" i="2" s="1"/>
  <c r="I65" i="2"/>
  <c r="O65" i="2" s="1"/>
  <c r="I66" i="2"/>
  <c r="O66" i="2" s="1"/>
  <c r="BN38" i="1"/>
  <c r="BL16" i="1"/>
  <c r="BO41" i="1"/>
  <c r="BP41" i="1" s="1"/>
  <c r="BJ16" i="1"/>
  <c r="BE17" i="1"/>
  <c r="AC4" i="1"/>
  <c r="V16" i="1"/>
  <c r="O16" i="1"/>
  <c r="BN16" i="1"/>
  <c r="M16" i="1"/>
  <c r="T16" i="1"/>
  <c r="AC17" i="1"/>
  <c r="AQ16" i="1"/>
  <c r="AO16" i="1"/>
  <c r="BN12" i="1"/>
  <c r="M17" i="1"/>
  <c r="BN26" i="1"/>
  <c r="T17" i="1"/>
  <c r="V17" i="1"/>
  <c r="BN17" i="1"/>
  <c r="BN15" i="1"/>
  <c r="BN39" i="1"/>
  <c r="BC9" i="1"/>
  <c r="BE9" i="1"/>
  <c r="AH4" i="1"/>
  <c r="AJ4" i="1"/>
  <c r="AO4" i="1"/>
  <c r="AQ4" i="1"/>
  <c r="BN24" i="1"/>
  <c r="AH9" i="1"/>
  <c r="AJ9" i="1"/>
  <c r="BM25" i="1"/>
  <c r="BN40" i="1"/>
  <c r="AH17" i="1"/>
  <c r="AJ17" i="1"/>
  <c r="BN11" i="1"/>
  <c r="BN6" i="1"/>
  <c r="T4" i="1"/>
  <c r="V4" i="1"/>
  <c r="AO9" i="1"/>
  <c r="AQ9" i="1"/>
  <c r="AA9" i="1"/>
  <c r="AC9" i="1"/>
  <c r="BN31" i="1"/>
  <c r="T9" i="1"/>
  <c r="V9" i="1"/>
  <c r="BN37" i="1"/>
  <c r="BM34" i="1"/>
  <c r="AV17" i="1"/>
  <c r="AX17" i="1"/>
  <c r="BJ4" i="1"/>
  <c r="BL4" i="1"/>
  <c r="BN5" i="1"/>
  <c r="BM20" i="1"/>
  <c r="BN14" i="1"/>
  <c r="BJ9" i="1"/>
  <c r="BL9" i="1"/>
  <c r="BM18" i="1"/>
  <c r="BN9" i="1"/>
  <c r="BN10" i="1"/>
  <c r="BN33" i="1"/>
  <c r="BN29" i="1"/>
  <c r="BM23" i="1"/>
  <c r="BN27" i="1"/>
  <c r="AV4" i="1"/>
  <c r="AX4" i="1"/>
  <c r="BN4" i="1"/>
  <c r="M4" i="1"/>
  <c r="O4" i="1"/>
  <c r="BN35" i="1"/>
  <c r="AV9" i="1"/>
  <c r="AX9" i="1"/>
  <c r="BO38" i="1"/>
  <c r="BO8" i="1"/>
  <c r="BP8" i="1" s="1"/>
  <c r="BN13" i="1"/>
  <c r="BP38" i="1" l="1"/>
  <c r="I55" i="2"/>
  <c r="O55" i="2" s="1"/>
  <c r="I56" i="2"/>
  <c r="O56" i="2" s="1"/>
  <c r="I39" i="2"/>
  <c r="O39" i="2" s="1"/>
  <c r="I40" i="2"/>
  <c r="O40" i="2" s="1"/>
  <c r="I38" i="2"/>
  <c r="O38" i="2" s="1"/>
  <c r="I37" i="2"/>
  <c r="O37" i="2" s="1"/>
  <c r="H76" i="2"/>
  <c r="N76" i="2" s="1"/>
  <c r="H73" i="2"/>
  <c r="K1" i="2"/>
  <c r="H5" i="2"/>
  <c r="H62" i="2"/>
  <c r="H4" i="2"/>
  <c r="H78" i="2"/>
  <c r="H94" i="2"/>
  <c r="H72" i="2"/>
  <c r="H95" i="2"/>
  <c r="H63" i="2"/>
  <c r="I53" i="2"/>
  <c r="O53" i="2" s="1"/>
  <c r="I52" i="2"/>
  <c r="O52" i="2" s="1"/>
  <c r="I54" i="2"/>
  <c r="O54" i="2" s="1"/>
  <c r="I51" i="2"/>
  <c r="O51" i="2" s="1"/>
  <c r="I50" i="2"/>
  <c r="O50" i="2" s="1"/>
  <c r="I49" i="2"/>
  <c r="O49" i="2" s="1"/>
  <c r="BO7" i="1"/>
  <c r="BP7" i="1" s="1"/>
  <c r="BO16" i="1"/>
  <c r="BP16" i="1" s="1"/>
  <c r="BO12" i="1"/>
  <c r="BP12" i="1" s="1"/>
  <c r="BO39" i="1"/>
  <c r="BP39" i="1" s="1"/>
  <c r="BO33" i="1"/>
  <c r="BP33" i="1" s="1"/>
  <c r="BP65" i="1"/>
  <c r="BO9" i="1"/>
  <c r="BO13" i="1"/>
  <c r="BP13" i="1" s="1"/>
  <c r="BO17" i="1"/>
  <c r="BP17" i="1" s="1"/>
  <c r="BO27" i="1"/>
  <c r="BP27" i="1" s="1"/>
  <c r="BM22" i="1"/>
  <c r="BN34" i="1"/>
  <c r="BM21" i="1"/>
  <c r="BO4" i="1"/>
  <c r="BP4" i="1" s="1"/>
  <c r="BN23" i="1"/>
  <c r="BN25" i="1"/>
  <c r="BO11" i="1"/>
  <c r="BP11" i="1" s="1"/>
  <c r="BO24" i="1"/>
  <c r="BP24" i="1" s="1"/>
  <c r="BO15" i="1"/>
  <c r="BP15" i="1" s="1"/>
  <c r="BP58" i="1"/>
  <c r="BP57" i="1"/>
  <c r="BO14" i="1"/>
  <c r="BP14" i="1" s="1"/>
  <c r="BP66" i="1"/>
  <c r="BP61" i="1"/>
  <c r="BP48" i="1"/>
  <c r="BP56" i="1"/>
  <c r="BO10" i="1"/>
  <c r="BP10" i="1" s="1"/>
  <c r="BO37" i="1"/>
  <c r="BP37" i="1" s="1"/>
  <c r="BO31" i="1"/>
  <c r="BP31" i="1" s="1"/>
  <c r="BP63" i="1"/>
  <c r="BM19" i="1"/>
  <c r="F42" i="1"/>
  <c r="BN20" i="1"/>
  <c r="BN18" i="1"/>
  <c r="BP9" i="1"/>
  <c r="BO6" i="1"/>
  <c r="BP6" i="1" s="1"/>
  <c r="BP64" i="1"/>
  <c r="BO26" i="1"/>
  <c r="BP26" i="1" s="1"/>
  <c r="BO35" i="1"/>
  <c r="BP35" i="1" s="1"/>
  <c r="BO29" i="1"/>
  <c r="BP29" i="1" s="1"/>
  <c r="BO5" i="1"/>
  <c r="BP5" i="1" s="1"/>
  <c r="BO40" i="1"/>
  <c r="BP40" i="1" s="1"/>
  <c r="V62" i="2" l="1"/>
  <c r="N62" i="2"/>
  <c r="V72" i="2"/>
  <c r="N72" i="2"/>
  <c r="V94" i="2"/>
  <c r="N94" i="2"/>
  <c r="V5" i="2"/>
  <c r="N5" i="2"/>
  <c r="V63" i="2"/>
  <c r="N63" i="2"/>
  <c r="V78" i="2"/>
  <c r="N78" i="2"/>
  <c r="V95" i="2"/>
  <c r="N95" i="2"/>
  <c r="V4" i="2"/>
  <c r="N4" i="2"/>
  <c r="V73" i="2"/>
  <c r="N73" i="2"/>
  <c r="F49" i="1"/>
  <c r="I76" i="2"/>
  <c r="O76" i="2" s="1"/>
  <c r="V76" i="2"/>
  <c r="I63" i="2"/>
  <c r="O63" i="2" s="1"/>
  <c r="I95" i="2"/>
  <c r="O95" i="2" s="1"/>
  <c r="I5" i="2"/>
  <c r="O5" i="2" s="1"/>
  <c r="I73" i="2"/>
  <c r="O73" i="2" s="1"/>
  <c r="I78" i="2"/>
  <c r="O78" i="2" s="1"/>
  <c r="I4" i="2"/>
  <c r="O4" i="2" s="1"/>
  <c r="I72" i="2"/>
  <c r="O72" i="2" s="1"/>
  <c r="I62" i="2"/>
  <c r="O62" i="2" s="1"/>
  <c r="I94" i="2"/>
  <c r="O94" i="2" s="1"/>
  <c r="I1" i="2"/>
  <c r="BM42" i="1"/>
  <c r="BP62" i="1"/>
  <c r="BN21" i="1"/>
  <c r="AT42" i="1"/>
  <c r="BN19" i="1"/>
  <c r="K42" i="1"/>
  <c r="BP47" i="1"/>
  <c r="BP59" i="1"/>
  <c r="BP49" i="1"/>
  <c r="BH42" i="1"/>
  <c r="AM42" i="1"/>
  <c r="BO18" i="1"/>
  <c r="BP18" i="1" s="1"/>
  <c r="BO20" i="1"/>
  <c r="BP20" i="1" s="1"/>
  <c r="BA42" i="1"/>
  <c r="BO25" i="1"/>
  <c r="BP25" i="1" s="1"/>
  <c r="Y42" i="1"/>
  <c r="R42" i="1"/>
  <c r="BN22" i="1"/>
  <c r="AF42" i="1"/>
  <c r="BP60" i="1"/>
  <c r="BO23" i="1"/>
  <c r="BP23" i="1" s="1"/>
  <c r="BO34" i="1"/>
  <c r="BP34" i="1" s="1"/>
  <c r="P1" i="2" l="1"/>
  <c r="O1" i="2" s="1"/>
  <c r="F52" i="1"/>
  <c r="H1" i="2"/>
  <c r="AA42" i="1"/>
  <c r="BN42" i="1"/>
  <c r="V42" i="1"/>
  <c r="BJ42" i="1"/>
  <c r="AC42" i="1"/>
  <c r="AX42" i="1"/>
  <c r="BC42" i="1"/>
  <c r="AQ42" i="1"/>
  <c r="AH42" i="1"/>
  <c r="M42" i="1"/>
  <c r="AJ42" i="1"/>
  <c r="T42" i="1"/>
  <c r="BE42" i="1"/>
  <c r="BO21" i="1"/>
  <c r="BP21" i="1" s="1"/>
  <c r="BO19" i="1"/>
  <c r="BP19" i="1" s="1"/>
  <c r="AO42" i="1"/>
  <c r="BO22" i="1"/>
  <c r="BP22" i="1" s="1"/>
  <c r="O42" i="1"/>
  <c r="AV42" i="1"/>
  <c r="BL42" i="1"/>
  <c r="BO42" i="1" l="1"/>
  <c r="BN44" i="1" s="1"/>
  <c r="BM44" i="1"/>
</calcChain>
</file>

<file path=xl/sharedStrings.xml><?xml version="1.0" encoding="utf-8"?>
<sst xmlns="http://schemas.openxmlformats.org/spreadsheetml/2006/main" count="1875" uniqueCount="236">
  <si>
    <t>Total</t>
  </si>
  <si>
    <t>308 Engineering</t>
  </si>
  <si>
    <t>310 Land and Land Rights</t>
  </si>
  <si>
    <t>311 Structure and Imporvements</t>
  </si>
  <si>
    <t>312 Boiler Plant Equipment</t>
  </si>
  <si>
    <t>314 Turbogenerator Units</t>
  </si>
  <si>
    <t>315 Accesory Electric Equipment</t>
  </si>
  <si>
    <t>316 Miscellaneous Power Plant Equipment</t>
  </si>
  <si>
    <t>343 Prime Movers</t>
  </si>
  <si>
    <t>Tasks</t>
  </si>
  <si>
    <t>Units</t>
  </si>
  <si>
    <t>Quantity</t>
  </si>
  <si>
    <t>Unit Cost</t>
  </si>
  <si>
    <t>Cost</t>
  </si>
  <si>
    <t>%</t>
  </si>
  <si>
    <t xml:space="preserve"> wenada
Total</t>
  </si>
  <si>
    <t>FERC 
Totals</t>
  </si>
  <si>
    <t>Unit Totals</t>
  </si>
  <si>
    <t>check</t>
  </si>
  <si>
    <t>Engineering, Design and Survey Work</t>
  </si>
  <si>
    <t>Design bulkhead for intake and discharge tunnel</t>
  </si>
  <si>
    <t>ls</t>
  </si>
  <si>
    <t>Perform environmental survey of above grade structures</t>
  </si>
  <si>
    <t>Storm Water Prevention Plan</t>
  </si>
  <si>
    <t>General</t>
  </si>
  <si>
    <t>Mob./Demob.</t>
  </si>
  <si>
    <t>Pavement Repairs</t>
  </si>
  <si>
    <t>sf</t>
  </si>
  <si>
    <t>Utility Disconnects</t>
  </si>
  <si>
    <t>Install Bulkhead in Intake &amp; Discharge Tunnel</t>
  </si>
  <si>
    <t>Install Electrical for Decommisioning Work</t>
  </si>
  <si>
    <t>Grade and Seeding</t>
  </si>
  <si>
    <t>Unit 1&amp; 2</t>
  </si>
  <si>
    <t>Demo</t>
  </si>
  <si>
    <t>nt</t>
  </si>
  <si>
    <t>FE Sales</t>
  </si>
  <si>
    <t>AL Sales</t>
  </si>
  <si>
    <t>lbs</t>
  </si>
  <si>
    <t>CU Sales</t>
  </si>
  <si>
    <t>SS Sales</t>
  </si>
  <si>
    <t>Turbine Foundations Concrete</t>
  </si>
  <si>
    <t>cy</t>
  </si>
  <si>
    <t>Transport &amp;  Dispose of Combustibles</t>
  </si>
  <si>
    <t>ea</t>
  </si>
  <si>
    <t>Process and haul brick, block &amp; Concrete</t>
  </si>
  <si>
    <t>Backfill Basement</t>
  </si>
  <si>
    <t>Unit 1 &amp; 2 Precipitators</t>
  </si>
  <si>
    <t>Ancillary Buildings</t>
  </si>
  <si>
    <t xml:space="preserve">Demo </t>
  </si>
  <si>
    <t>Sales</t>
  </si>
  <si>
    <t>Universal Wastes, Grease &amp; Oil Removal</t>
  </si>
  <si>
    <t>Dispose of Refractory in Subtitle D Landfill</t>
  </si>
  <si>
    <t>WBS</t>
  </si>
  <si>
    <t>COEL</t>
  </si>
  <si>
    <t>PLTCODE</t>
  </si>
  <si>
    <t>QTY</t>
  </si>
  <si>
    <t>UM</t>
  </si>
  <si>
    <t>RATE</t>
  </si>
  <si>
    <t>VALUE</t>
  </si>
  <si>
    <t>COMMENT</t>
  </si>
  <si>
    <t>MATERIALS</t>
  </si>
  <si>
    <t>CLASSIFICATION</t>
  </si>
  <si>
    <t>BUCKET</t>
  </si>
  <si>
    <t>3040000</t>
  </si>
  <si>
    <t/>
  </si>
  <si>
    <t>CONTINGENCY</t>
  </si>
  <si>
    <t>ECO</t>
  </si>
  <si>
    <t>SCS</t>
  </si>
  <si>
    <t>1LR</t>
  </si>
  <si>
    <t>2LR</t>
  </si>
  <si>
    <t>C</t>
  </si>
  <si>
    <t>CLR</t>
  </si>
  <si>
    <t>NON</t>
  </si>
  <si>
    <t>ASB</t>
  </si>
  <si>
    <t>ASH</t>
  </si>
  <si>
    <t>3070041</t>
  </si>
  <si>
    <t>MY</t>
  </si>
  <si>
    <t>POWER GENERATION SUPERVISION</t>
  </si>
  <si>
    <t>3070201</t>
  </si>
  <si>
    <t>TEMPORARY CONSTRUCTION SERVICES</t>
  </si>
  <si>
    <t>3070201MO</t>
  </si>
  <si>
    <t>LT</t>
  </si>
  <si>
    <t>CONTRACTOR MOBILIZATION</t>
  </si>
  <si>
    <t>BDG</t>
  </si>
  <si>
    <t>3070221</t>
  </si>
  <si>
    <t>SECURITY SERVICES</t>
  </si>
  <si>
    <t>307UND</t>
  </si>
  <si>
    <t>3080241</t>
  </si>
  <si>
    <t>MH</t>
  </si>
  <si>
    <t>SCS ENGINEERING</t>
  </si>
  <si>
    <t>3080241SW</t>
  </si>
  <si>
    <t>APC ENGINEERING</t>
  </si>
  <si>
    <t>GPC ENGINEERING</t>
  </si>
  <si>
    <t>3080268</t>
  </si>
  <si>
    <t>PERMITS</t>
  </si>
  <si>
    <t>3080268EA</t>
  </si>
  <si>
    <t>3080361</t>
  </si>
  <si>
    <t>WRAP-UP AND ALL-RISK INSURANCE</t>
  </si>
  <si>
    <t>3090481</t>
  </si>
  <si>
    <t>ADMINISTRATIVE &amp; GENERAL OVERHEAD</t>
  </si>
  <si>
    <t>3110001LC</t>
  </si>
  <si>
    <t>MARKUP</t>
  </si>
  <si>
    <t>3110061</t>
  </si>
  <si>
    <t>3110230</t>
  </si>
  <si>
    <t>AC</t>
  </si>
  <si>
    <t>Ash Disposal Pond</t>
  </si>
  <si>
    <t>3111002CN</t>
  </si>
  <si>
    <t>1LD</t>
  </si>
  <si>
    <t>Process, haul and backfill brick &amp; block</t>
  </si>
  <si>
    <t>2LD</t>
  </si>
  <si>
    <t>CLD</t>
  </si>
  <si>
    <t>311UND</t>
  </si>
  <si>
    <t>ANCILLARY BUILDINGS - Demo</t>
  </si>
  <si>
    <t>ANICILLARY BUILDINGS - Demo</t>
  </si>
  <si>
    <t>CMS</t>
  </si>
  <si>
    <t>ANCILLARY BUILDINGS - FE SALES</t>
  </si>
  <si>
    <t>STEEL</t>
  </si>
  <si>
    <t>Main Power Block - Backfill Basement</t>
  </si>
  <si>
    <t>Main Power Block - (4) Coal Silos</t>
  </si>
  <si>
    <t>Main Power Block - DEMO</t>
  </si>
  <si>
    <t>1MS</t>
  </si>
  <si>
    <t>Main Power Block - FE Sales</t>
  </si>
  <si>
    <t>2MS</t>
  </si>
  <si>
    <t>3120000AA</t>
  </si>
  <si>
    <t>TN</t>
  </si>
  <si>
    <t>SFTNSIDING (ASBESTOS)</t>
  </si>
  <si>
    <t>SF</t>
  </si>
  <si>
    <t>312UND</t>
  </si>
  <si>
    <t>Main Power Block - AL Sales</t>
  </si>
  <si>
    <t>ALUMINUM</t>
  </si>
  <si>
    <t>Main Power Block - CU Sales</t>
  </si>
  <si>
    <t>COPPER</t>
  </si>
  <si>
    <t>Main Power Block - SS Sales</t>
  </si>
  <si>
    <t>STAINLESS STEEL</t>
  </si>
  <si>
    <t>Precipitators - DEMO</t>
  </si>
  <si>
    <t>Precipitators - FE Sales</t>
  </si>
  <si>
    <t>314052102</t>
  </si>
  <si>
    <t>314UND</t>
  </si>
  <si>
    <t>Main Power Block - Turbine Foundations Concrete</t>
  </si>
  <si>
    <t>315UND</t>
  </si>
  <si>
    <t>Unit &amp; Service Transformers - CU Sales</t>
  </si>
  <si>
    <t>TRANSFORMER</t>
  </si>
  <si>
    <t>Unit &amp; Service Transformers - Demo</t>
  </si>
  <si>
    <t>Main Substation Transformers - Demo</t>
  </si>
  <si>
    <t>Unit &amp; Service Transformers - FE Sales</t>
  </si>
  <si>
    <t>341UND</t>
  </si>
  <si>
    <t>3430000FM</t>
  </si>
  <si>
    <t>BARRY-ASB</t>
  </si>
  <si>
    <t>BARRY-ASH</t>
  </si>
  <si>
    <t>CCATDESC</t>
  </si>
  <si>
    <t>REMOVAL</t>
  </si>
  <si>
    <t>Unit &amp; Service Transformers- CU Sales</t>
  </si>
  <si>
    <t>SALVAGE</t>
  </si>
  <si>
    <t>DISPOSAL</t>
  </si>
  <si>
    <t>309</t>
  </si>
  <si>
    <t>311</t>
  </si>
  <si>
    <t>308</t>
  </si>
  <si>
    <t>304</t>
  </si>
  <si>
    <t>307</t>
  </si>
  <si>
    <t>343</t>
  </si>
  <si>
    <t>341</t>
  </si>
  <si>
    <t>312</t>
  </si>
  <si>
    <t>314</t>
  </si>
  <si>
    <t>315</t>
  </si>
  <si>
    <t>FERC</t>
  </si>
  <si>
    <t>UNIT</t>
  </si>
  <si>
    <t>2% of FERCs 310 and above less "Install Electrical for Decommisioning Work".</t>
  </si>
  <si>
    <t>Install Electrical for Decommissioning Work</t>
  </si>
  <si>
    <t>OWNER</t>
  </si>
  <si>
    <t>GULF</t>
  </si>
  <si>
    <t xml:space="preserve">Unit 1 </t>
  </si>
  <si>
    <t>Unit 2</t>
  </si>
  <si>
    <t>Condenser Tubes (90-10 Cu Ni)</t>
  </si>
  <si>
    <t>150' Stacks</t>
  </si>
  <si>
    <t>Unit &amp; Service Transformers</t>
  </si>
  <si>
    <t xml:space="preserve">Unit </t>
  </si>
  <si>
    <t>Price</t>
  </si>
  <si>
    <t>* FE is based on the Aug. 7, 2015 Metal Prices Birmingham P&amp;S 5' &amp; under = $245 / GT</t>
  </si>
  <si>
    <t>* AL is based on Aug. 18, 2015 LME Cash Official = $0.69/lb</t>
  </si>
  <si>
    <t>* CU is baesd on Aug. 18, 2015 LME Cash Official =  $2.27/lb</t>
  </si>
  <si>
    <t>* SS is based on Aug. 17, 2015 LME 304 (18-8) Scrap Solids Processor = $0.50 / lb</t>
  </si>
  <si>
    <t>*305 SS - is based on Aug. 17, 2014 LME 304 (18-8) Scrap Solids Processor = $0.50 / lb</t>
  </si>
  <si>
    <t>* Transformers is based on Aug. 18, 2015 LME Cash official for CU = $2.27</t>
  </si>
  <si>
    <t>*Ti is based on Aug. 13, 2015 Secondary Market Tin Bearing &gt;85%  = $0.55 / lb</t>
  </si>
  <si>
    <t>* Ad Brass is based of Aug. 14, 2015 Secondary Market Yellow Brass = $1.66</t>
  </si>
  <si>
    <t>* 90-10 CU-NI is based on Aug. 18, 2015 Secondary Market Cupro-Nickel Scrap 90-10 = $2.07</t>
  </si>
  <si>
    <t>*304 SS - is based on Aug. 17, 2015 LME 304 (18-8) Scrap Solids Processor = $0.50 / lb</t>
  </si>
  <si>
    <t>Main Power Block - Condenser Tubes (90-10 Cu Ni)</t>
  </si>
  <si>
    <t>CUPRO-NICKEL</t>
  </si>
  <si>
    <t>Main Power Block - 150' Stacks</t>
  </si>
  <si>
    <t>OWNRSHP_PCT</t>
  </si>
  <si>
    <t>SCHOLZ-NON</t>
  </si>
  <si>
    <t>SCHOLZ-ECO</t>
  </si>
  <si>
    <t>INSULATION (ASBESTOS)</t>
  </si>
  <si>
    <t>SCHOLZ-ASB</t>
  </si>
  <si>
    <t>06NOV15 Scrap Values</t>
  </si>
  <si>
    <t>August '15 Scrap values</t>
  </si>
  <si>
    <t>ADJ Unit</t>
  </si>
  <si>
    <t>Change</t>
  </si>
  <si>
    <t>Historical Links</t>
  </si>
  <si>
    <t>http://www.metalprices.com/historical/database/ferrous-scrap-price-index/fe-spi-5-plate-structural-birmingham</t>
  </si>
  <si>
    <t>LME</t>
  </si>
  <si>
    <t>http://www.metalprices.com/historical/database/aluminum/lme-aluminum-cash-official</t>
  </si>
  <si>
    <t>http://www.metalprices.com/historical/database/copper/lme-copper-cash-official</t>
  </si>
  <si>
    <t>http://www.metalprices.com/historical/database/stainless-steel/stainless-steel-304-s-p</t>
  </si>
  <si>
    <t>http://www.metalprices.com/metal/titanium/titanium-scrap-ferro-ti-quality-turnings-non-tin-bearing-gt-85-ti</t>
  </si>
  <si>
    <t>http://www.metalprices.com/historical/database/brass/brass-yellow-brass</t>
  </si>
  <si>
    <t>http://www.metalprices.com/metal/cupro-nickel/cupro-nickel-c706</t>
  </si>
  <si>
    <t>* FE is based on the 06NOV15, 2015 Metal Prices Birmingham P&amp;S 5' &amp; under = $168 / GT</t>
  </si>
  <si>
    <t>* AL is based on 06NOV15, 2015 LME Cash Official = $0.67/lb</t>
  </si>
  <si>
    <t>* CU is based on 06NOV15, LME Cash Official =  $2.29/lb</t>
  </si>
  <si>
    <t>* SS is based on 06NOV15, LME 304 (18-8) Scrap Solids Processor = $0.44 / lb</t>
  </si>
  <si>
    <t>*305 SS - is based on 06NOV15, LME 304 (18-8) Scrap Solids Processor = $0.44 / lb</t>
  </si>
  <si>
    <t>* Transformers is based on 06NOV15, LME Cash Official =  $2.29/lb</t>
  </si>
  <si>
    <t>*Ti is based on 06NOV15, Secondary Market Tin Bearing &gt;85%  = $0.375 / lb</t>
  </si>
  <si>
    <t>* Ad Brass is based of 06NOV15, Secondary Market Yellow Brass = $1.61</t>
  </si>
  <si>
    <t>* 90-10 CU-NI is based on 06NOV15, Secondary Market Cupro-Nickel Scrap 90-10 = $1.99</t>
  </si>
  <si>
    <t>*304 SS - is based on 06NOV15, LME 304 (18-8) Scrap Solids Processor = $0.44 / lb</t>
  </si>
  <si>
    <t>31DEC16 Scrap Values</t>
  </si>
  <si>
    <t>2015 Cossts</t>
  </si>
  <si>
    <t>Note: 2016 Salvage Values were escalated from 2015 based on % from Power Advocate.</t>
  </si>
  <si>
    <t>* Transformers is based on 31DEC15, LME Cash Official =  $2.29/lb</t>
  </si>
  <si>
    <t>Labor Escalation (4Q15 to 4Q16)</t>
  </si>
  <si>
    <t>* FE is based on the 31DEC15, 2015 Metal Prices Birmingham P&amp;S 5' &amp; under = $151.79 / GT and Escalated to 31DEC2016.</t>
  </si>
  <si>
    <t>* AL is based on 31DEC15, 2015 LME Cash Official = $0.68/lb and Escalated to 31DEC2016.</t>
  </si>
  <si>
    <t>* CU is based on 31DEC15, LME Cash Official =  $2.14/lb and Escalated to 31DEC2016.</t>
  </si>
  <si>
    <t>* SS is based on 31DEC15, LME 304 (18-8) Scrap Solids Processor = $0.38 / lb and Escalated to 31DEC2016.</t>
  </si>
  <si>
    <t>*305 SS - is based on 31DEC15, LME 304 (18-8) Scrap Solids Processor = $0.38 / lb and Escalated to 31DEC2016.</t>
  </si>
  <si>
    <t>*Ti is based on 31DEC15, Secondary Market Tin Bearing &gt;85%  = $0..25/ lb and Escalated to 31DEC2016.</t>
  </si>
  <si>
    <t>* Ad Brass is based of 31DEC15, Secondary Market Yellow Brass = $1.51 and Escalated to 31DEC2016.</t>
  </si>
  <si>
    <t>* 90-10 CU-NI is based on 31DEC15, Secondary Market Cupro-Nickel Scrap 90-10 = $1.87 and Escalated to 31DEC2016.</t>
  </si>
  <si>
    <t>*304 SS - is based on 31DEC15, LME 304 (18-8) Scrap Solids Processor = $0.38 / lb and Escalated to 31DEC2016.</t>
  </si>
  <si>
    <t>NOTES2016</t>
  </si>
  <si>
    <t>cRATE2016</t>
  </si>
  <si>
    <t>cVALUE2016</t>
  </si>
  <si>
    <t>Scrap Market Values (MetalPrices.com) as projected to 31DEC16.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</si>
</sst>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#,##0;[Red]\-#,##0"/>
    <numFmt numFmtId="167" formatCode="&quot;$&quot;#,##0;[Red]\-&quot;$&quot;#,##0"/>
    <numFmt numFmtId="168" formatCode="&quot;$&quot;#,##0;[Red]&quot;$&quot;#,##0"/>
    <numFmt numFmtId="169" formatCode="#,##0;[Red]#,##0"/>
    <numFmt numFmtId="170" formatCode="_(* #,##0_);_(* \(#,##0\);_(* &quot;-&quot;??_);_(@_)"/>
    <numFmt numFmtId="171" formatCode="_(* #,##0.0_);_(* \(#,##0.0\);_(* &quot;-&quot;??_);_(@_)"/>
    <numFmt numFmtId="172" formatCode="_(&quot;$&quot;* #,##0_);_(&quot;$&quot;* \(#,##0\);_(&quot;$&quot;* &quot;-&quot;??_);_(@_)"/>
    <numFmt numFmtId="173" formatCode="_(&quot;$&quot;* #,##0.0000_);_(&quot;$&quot;* \(#,##0.0000\);_(&quot;$&quot;* &quot;-&quot;??_);_(@_)"/>
    <numFmt numFmtId="174" formatCode="0.000%"/>
    <numFmt numFmtId="175" formatCode="#,##0.0000_);[Red]\(#,##0.0000\)"/>
    <numFmt numFmtId="176" formatCode="#,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55">
    <xf numFmtId="0" fontId="0" fillId="0" borderId="0"/>
    <xf numFmtId="166" fontId="4" fillId="0" borderId="9">
      <alignment horizontal="right" vertical="top" wrapText="1"/>
    </xf>
    <xf numFmtId="166" fontId="4" fillId="4" borderId="9">
      <alignment horizontal="right" vertical="top"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5" borderId="9">
      <alignment horizontal="right" vertical="top" wrapText="1"/>
    </xf>
    <xf numFmtId="167" fontId="4" fillId="0" borderId="9">
      <alignment horizontal="right" vertical="top" wrapText="1"/>
    </xf>
    <xf numFmtId="167" fontId="4" fillId="0" borderId="7">
      <alignment vertical="top"/>
      <protection locked="0"/>
    </xf>
    <xf numFmtId="44" fontId="1" fillId="0" borderId="0" applyFont="0" applyFill="0" applyBorder="0" applyAlignment="0" applyProtection="0"/>
    <xf numFmtId="8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4" fillId="0" borderId="7">
      <alignment vertical="top"/>
      <protection locked="0"/>
    </xf>
    <xf numFmtId="166" fontId="4" fillId="6" borderId="7">
      <alignment vertical="top"/>
      <protection locked="0"/>
    </xf>
    <xf numFmtId="166" fontId="4" fillId="0" borderId="9">
      <alignment vertical="top"/>
    </xf>
    <xf numFmtId="166" fontId="4" fillId="7" borderId="9">
      <alignment vertical="top"/>
    </xf>
    <xf numFmtId="166" fontId="4" fillId="0" borderId="9">
      <alignment vertical="top"/>
    </xf>
    <xf numFmtId="166" fontId="4" fillId="0" borderId="7">
      <alignment vertical="top" wrapText="1"/>
      <protection locked="0"/>
    </xf>
    <xf numFmtId="0" fontId="1" fillId="0" borderId="0"/>
    <xf numFmtId="0" fontId="1" fillId="0" borderId="0"/>
    <xf numFmtId="0" fontId="7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6" fontId="8" fillId="0" borderId="0">
      <alignment vertical="top"/>
    </xf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168" fontId="8" fillId="8" borderId="10">
      <alignment horizontal="right"/>
      <protection locked="0"/>
    </xf>
    <xf numFmtId="169" fontId="4" fillId="9" borderId="9">
      <alignment horizontal="right" vertical="top" wrapText="1"/>
    </xf>
    <xf numFmtId="169" fontId="4" fillId="0" borderId="9">
      <alignment horizontal="right" vertical="top" wrapText="1"/>
    </xf>
    <xf numFmtId="166" fontId="4" fillId="0" borderId="7">
      <alignment vertical="top"/>
      <protection locked="0"/>
    </xf>
    <xf numFmtId="167" fontId="4" fillId="10" borderId="9">
      <alignment horizontal="right" vertical="top" wrapText="1"/>
    </xf>
    <xf numFmtId="167" fontId="4" fillId="0" borderId="9">
      <alignment horizontal="right" vertical="top" wrapText="1"/>
    </xf>
    <xf numFmtId="167" fontId="4" fillId="0" borderId="7">
      <alignment vertical="top"/>
      <protection locked="0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210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Font="1" applyProtection="1">
      <protection locked="0"/>
    </xf>
    <xf numFmtId="0" fontId="2" fillId="2" borderId="0" xfId="0" applyFont="1" applyFill="1" applyBorder="1" applyAlignment="1"/>
    <xf numFmtId="0" fontId="2" fillId="2" borderId="2" xfId="0" applyFont="1" applyFill="1" applyBorder="1" applyAlignment="1">
      <alignment horizontal="center"/>
    </xf>
    <xf numFmtId="6" fontId="0" fillId="0" borderId="0" xfId="0" applyNumberFormat="1" applyAlignment="1">
      <alignment horizontal="right"/>
    </xf>
    <xf numFmtId="0" fontId="0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0" fillId="2" borderId="0" xfId="0" applyFill="1" applyBorder="1" applyAlignment="1">
      <alignment wrapText="1"/>
    </xf>
    <xf numFmtId="0" fontId="2" fillId="0" borderId="4" xfId="0" quotePrefix="1" applyFont="1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6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3" fontId="2" fillId="0" borderId="7" xfId="0" applyNumberFormat="1" applyFont="1" applyBorder="1" applyAlignment="1" applyProtection="1">
      <alignment horizontal="center" wrapText="1"/>
      <protection locked="0"/>
    </xf>
    <xf numFmtId="164" fontId="2" fillId="0" borderId="7" xfId="0" applyNumberFormat="1" applyFont="1" applyBorder="1" applyAlignment="1" applyProtection="1">
      <alignment horizontal="center" wrapText="1"/>
      <protection locked="0"/>
    </xf>
    <xf numFmtId="6" fontId="2" fillId="0" borderId="7" xfId="0" applyNumberFormat="1" applyFont="1" applyBorder="1" applyAlignment="1" applyProtection="1">
      <alignment horizontal="center" wrapText="1"/>
      <protection locked="0"/>
    </xf>
    <xf numFmtId="6" fontId="2" fillId="2" borderId="3" xfId="0" applyNumberFormat="1" applyFont="1" applyFill="1" applyBorder="1" applyAlignment="1" applyProtection="1">
      <alignment horizontal="center" wrapText="1"/>
      <protection locked="0"/>
    </xf>
    <xf numFmtId="9" fontId="2" fillId="0" borderId="3" xfId="0" applyNumberFormat="1" applyFont="1" applyFill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9" fontId="2" fillId="0" borderId="3" xfId="0" applyNumberFormat="1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2" borderId="0" xfId="0" applyFont="1" applyFill="1" applyBorder="1" applyAlignment="1" applyProtection="1">
      <alignment horizontal="center" wrapText="1"/>
      <protection locked="0"/>
    </xf>
    <xf numFmtId="6" fontId="2" fillId="0" borderId="0" xfId="0" applyNumberFormat="1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3" fontId="0" fillId="0" borderId="9" xfId="0" applyNumberFormat="1" applyFont="1" applyBorder="1" applyAlignment="1" applyProtection="1">
      <alignment horizontal="right" wrapText="1"/>
      <protection locked="0"/>
    </xf>
    <xf numFmtId="164" fontId="0" fillId="0" borderId="9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Protection="1">
      <protection locked="0"/>
    </xf>
    <xf numFmtId="6" fontId="0" fillId="2" borderId="3" xfId="0" applyNumberFormat="1" applyFont="1" applyFill="1" applyBorder="1" applyAlignment="1" applyProtection="1">
      <alignment horizontal="right" wrapText="1"/>
      <protection locked="0"/>
    </xf>
    <xf numFmtId="9" fontId="0" fillId="0" borderId="3" xfId="0" applyNumberFormat="1" applyFont="1" applyBorder="1" applyAlignment="1" applyProtection="1">
      <alignment horizontal="center" wrapText="1"/>
      <protection locked="0"/>
    </xf>
    <xf numFmtId="6" fontId="0" fillId="0" borderId="9" xfId="0" applyNumberFormat="1" applyFont="1" applyBorder="1" applyAlignment="1" applyProtection="1">
      <alignment horizontal="center"/>
      <protection locked="0"/>
    </xf>
    <xf numFmtId="9" fontId="0" fillId="0" borderId="3" xfId="0" applyNumberFormat="1" applyFont="1" applyBorder="1" applyAlignment="1" applyProtection="1">
      <alignment horizontal="center" wrapText="1"/>
    </xf>
    <xf numFmtId="6" fontId="0" fillId="0" borderId="9" xfId="0" applyNumberFormat="1" applyFont="1" applyBorder="1" applyAlignment="1" applyProtection="1">
      <alignment horizontal="right"/>
      <protection locked="0"/>
    </xf>
    <xf numFmtId="6" fontId="0" fillId="2" borderId="3" xfId="0" applyNumberFormat="1" applyFont="1" applyFill="1" applyBorder="1" applyAlignment="1" applyProtection="1">
      <alignment horizontal="right"/>
      <protection locked="0"/>
    </xf>
    <xf numFmtId="6" fontId="2" fillId="0" borderId="0" xfId="0" applyNumberFormat="1" applyFont="1" applyAlignment="1" applyProtection="1">
      <alignment horizontal="right" wrapText="1"/>
      <protection locked="0"/>
    </xf>
    <xf numFmtId="0" fontId="0" fillId="0" borderId="9" xfId="0" applyBorder="1" applyAlignment="1" applyProtection="1">
      <alignment horizontal="center"/>
      <protection locked="0"/>
    </xf>
    <xf numFmtId="3" fontId="0" fillId="0" borderId="9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9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8" fontId="0" fillId="0" borderId="9" xfId="0" applyNumberFormat="1" applyFont="1" applyBorder="1" applyProtection="1">
      <protection locked="0"/>
    </xf>
    <xf numFmtId="0" fontId="0" fillId="0" borderId="0" xfId="0" applyFill="1" applyAlignment="1" applyProtection="1">
      <alignment horizontal="left"/>
      <protection locked="0"/>
    </xf>
    <xf numFmtId="165" fontId="0" fillId="0" borderId="9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9" fontId="0" fillId="0" borderId="3" xfId="0" applyNumberFormat="1" applyBorder="1" applyAlignment="1" applyProtection="1">
      <alignment horizontal="center" wrapText="1"/>
    </xf>
    <xf numFmtId="3" fontId="0" fillId="0" borderId="9" xfId="0" applyNumberFormat="1" applyFont="1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6" fontId="0" fillId="2" borderId="0" xfId="0" applyNumberFormat="1" applyFont="1" applyFill="1" applyBorder="1" applyAlignment="1" applyProtection="1">
      <alignment horizontal="right"/>
      <protection locked="0"/>
    </xf>
    <xf numFmtId="9" fontId="0" fillId="0" borderId="0" xfId="0" applyNumberFormat="1" applyFont="1" applyBorder="1" applyAlignment="1" applyProtection="1">
      <alignment horizontal="center" wrapText="1"/>
      <protection locked="0"/>
    </xf>
    <xf numFmtId="9" fontId="0" fillId="0" borderId="0" xfId="0" applyNumberFormat="1" applyFont="1" applyBorder="1" applyAlignment="1" applyProtection="1">
      <alignment horizontal="center" wrapText="1"/>
    </xf>
    <xf numFmtId="0" fontId="2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3" fontId="0" fillId="3" borderId="9" xfId="0" applyNumberFormat="1" applyFont="1" applyFill="1" applyBorder="1" applyAlignment="1" applyProtection="1">
      <alignment horizontal="right" wrapText="1"/>
      <protection locked="0"/>
    </xf>
    <xf numFmtId="164" fontId="0" fillId="3" borderId="9" xfId="0" applyNumberFormat="1" applyFont="1" applyFill="1" applyBorder="1" applyAlignment="1" applyProtection="1">
      <alignment horizontal="center" wrapText="1"/>
      <protection locked="0"/>
    </xf>
    <xf numFmtId="6" fontId="2" fillId="3" borderId="9" xfId="0" applyNumberFormat="1" applyFont="1" applyFill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3" fontId="0" fillId="0" borderId="0" xfId="0" applyNumberFormat="1" applyFont="1" applyProtection="1">
      <protection locked="0"/>
    </xf>
    <xf numFmtId="164" fontId="0" fillId="0" borderId="0" xfId="0" applyNumberFormat="1" applyFont="1" applyProtection="1">
      <protection locked="0"/>
    </xf>
    <xf numFmtId="6" fontId="0" fillId="0" borderId="0" xfId="0" applyNumberFormat="1" applyFont="1" applyProtection="1">
      <protection locked="0"/>
    </xf>
    <xf numFmtId="6" fontId="0" fillId="2" borderId="0" xfId="0" applyNumberFormat="1" applyFont="1" applyFill="1" applyAlignment="1" applyProtection="1">
      <alignment horizontal="right"/>
      <protection locked="0"/>
    </xf>
    <xf numFmtId="9" fontId="0" fillId="0" borderId="0" xfId="0" applyNumberFormat="1" applyFont="1" applyFill="1" applyProtection="1">
      <protection locked="0"/>
    </xf>
    <xf numFmtId="9" fontId="0" fillId="0" borderId="0" xfId="0" applyNumberFormat="1" applyFont="1" applyAlignment="1" applyProtection="1">
      <alignment horizontal="center"/>
      <protection locked="0"/>
    </xf>
    <xf numFmtId="0" fontId="0" fillId="2" borderId="0" xfId="0" applyFont="1" applyFill="1" applyProtection="1">
      <protection locked="0"/>
    </xf>
    <xf numFmtId="3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Protection="1">
      <protection locked="0"/>
    </xf>
    <xf numFmtId="6" fontId="0" fillId="0" borderId="0" xfId="0" applyNumberFormat="1" applyFont="1" applyBorder="1" applyAlignment="1" applyProtection="1">
      <alignment horizontal="center"/>
      <protection locked="0"/>
    </xf>
    <xf numFmtId="6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/>
    <xf numFmtId="0" fontId="0" fillId="0" borderId="0" xfId="0"/>
    <xf numFmtId="0" fontId="0" fillId="0" borderId="0" xfId="0"/>
    <xf numFmtId="8" fontId="0" fillId="0" borderId="0" xfId="0" applyNumberFormat="1"/>
    <xf numFmtId="44" fontId="0" fillId="0" borderId="0" xfId="50" applyFont="1"/>
    <xf numFmtId="6" fontId="0" fillId="0" borderId="0" xfId="0" applyNumberFormat="1"/>
    <xf numFmtId="0" fontId="9" fillId="11" borderId="7" xfId="0" applyFont="1" applyFill="1" applyBorder="1" applyAlignment="1" applyProtection="1">
      <alignment horizontal="center" vertical="center"/>
    </xf>
    <xf numFmtId="0" fontId="9" fillId="12" borderId="7" xfId="0" applyFont="1" applyFill="1" applyBorder="1" applyAlignment="1" applyProtection="1">
      <alignment horizontal="center" vertical="center"/>
    </xf>
    <xf numFmtId="0" fontId="9" fillId="11" borderId="0" xfId="0" applyFont="1" applyFill="1" applyBorder="1" applyAlignment="1" applyProtection="1">
      <alignment horizontal="center" vertical="center"/>
    </xf>
    <xf numFmtId="0" fontId="0" fillId="0" borderId="0" xfId="0" applyAlignment="1"/>
    <xf numFmtId="0" fontId="0" fillId="0" borderId="0" xfId="0" applyFill="1" applyBorder="1" applyAlignment="1"/>
    <xf numFmtId="0" fontId="10" fillId="0" borderId="11" xfId="0" applyFont="1" applyFill="1" applyBorder="1" applyAlignment="1" applyProtection="1">
      <alignment vertical="center"/>
    </xf>
    <xf numFmtId="0" fontId="10" fillId="3" borderId="11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</xf>
    <xf numFmtId="44" fontId="10" fillId="0" borderId="11" xfId="0" applyNumberFormat="1" applyFont="1" applyFill="1" applyBorder="1" applyAlignment="1" applyProtection="1">
      <alignment horizontal="right" vertical="center"/>
    </xf>
    <xf numFmtId="170" fontId="10" fillId="0" borderId="11" xfId="49" applyNumberFormat="1" applyFont="1" applyFill="1" applyBorder="1" applyAlignment="1" applyProtection="1">
      <alignment horizontal="right" vertical="center"/>
    </xf>
    <xf numFmtId="0" fontId="10" fillId="3" borderId="11" xfId="0" applyFont="1" applyFill="1" applyBorder="1" applyAlignment="1" applyProtection="1">
      <alignment horizontal="right" vertical="center"/>
    </xf>
    <xf numFmtId="6" fontId="0" fillId="13" borderId="9" xfId="0" applyNumberFormat="1" applyFont="1" applyFill="1" applyBorder="1" applyProtection="1">
      <protection locked="0"/>
    </xf>
    <xf numFmtId="0" fontId="9" fillId="12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 applyProtection="1">
      <alignment horizontal="center" vertical="center"/>
    </xf>
    <xf numFmtId="0" fontId="0" fillId="0" borderId="0" xfId="0"/>
    <xf numFmtId="0" fontId="10" fillId="0" borderId="0" xfId="0" applyFont="1" applyFill="1" applyBorder="1" applyAlignment="1" applyProtection="1">
      <alignment vertical="center"/>
    </xf>
    <xf numFmtId="171" fontId="10" fillId="0" borderId="11" xfId="49" applyNumberFormat="1" applyFont="1" applyFill="1" applyBorder="1" applyAlignment="1" applyProtection="1">
      <alignment horizontal="right" vertical="center"/>
    </xf>
    <xf numFmtId="0" fontId="0" fillId="14" borderId="0" xfId="0" applyFill="1" applyAlignment="1" applyProtection="1">
      <alignment horizontal="left"/>
      <protection locked="0"/>
    </xf>
    <xf numFmtId="0" fontId="0" fillId="14" borderId="9" xfId="0" applyFill="1" applyBorder="1" applyAlignment="1" applyProtection="1">
      <alignment horizontal="center"/>
      <protection locked="0"/>
    </xf>
    <xf numFmtId="3" fontId="0" fillId="14" borderId="9" xfId="0" applyNumberFormat="1" applyFont="1" applyFill="1" applyBorder="1" applyProtection="1">
      <protection locked="0"/>
    </xf>
    <xf numFmtId="6" fontId="0" fillId="0" borderId="9" xfId="0" applyNumberFormat="1" applyFont="1" applyFill="1" applyBorder="1" applyProtection="1">
      <protection locked="0"/>
    </xf>
    <xf numFmtId="0" fontId="0" fillId="0" borderId="11" xfId="0" applyBorder="1"/>
    <xf numFmtId="44" fontId="10" fillId="0" borderId="0" xfId="0" applyNumberFormat="1" applyFont="1" applyFill="1" applyBorder="1" applyAlignment="1" applyProtection="1">
      <alignment horizontal="right" vertical="center"/>
    </xf>
    <xf numFmtId="0" fontId="10" fillId="3" borderId="0" xfId="0" applyFont="1" applyFill="1" applyBorder="1" applyAlignment="1" applyProtection="1">
      <alignment horizontal="right" vertical="center"/>
    </xf>
    <xf numFmtId="0" fontId="10" fillId="14" borderId="11" xfId="0" applyFont="1" applyFill="1" applyBorder="1" applyAlignment="1" applyProtection="1">
      <alignment horizontal="right" vertical="center"/>
    </xf>
    <xf numFmtId="44" fontId="10" fillId="14" borderId="11" xfId="0" applyNumberFormat="1" applyFont="1" applyFill="1" applyBorder="1" applyAlignment="1" applyProtection="1">
      <alignment horizontal="right" vertical="center"/>
    </xf>
    <xf numFmtId="0" fontId="10" fillId="15" borderId="11" xfId="0" applyFont="1" applyFill="1" applyBorder="1" applyAlignment="1" applyProtection="1">
      <alignment vertical="center"/>
    </xf>
    <xf numFmtId="0" fontId="12" fillId="0" borderId="11" xfId="0" applyFont="1" applyFill="1" applyBorder="1" applyAlignment="1" applyProtection="1">
      <alignment vertical="center"/>
    </xf>
    <xf numFmtId="0" fontId="12" fillId="14" borderId="11" xfId="0" applyFont="1" applyFill="1" applyBorder="1" applyAlignment="1" applyProtection="1">
      <alignment vertical="center"/>
    </xf>
    <xf numFmtId="49" fontId="10" fillId="14" borderId="11" xfId="0" applyNumberFormat="1" applyFont="1" applyFill="1" applyBorder="1" applyAlignment="1" applyProtection="1">
      <alignment vertical="center"/>
    </xf>
    <xf numFmtId="0" fontId="12" fillId="3" borderId="11" xfId="0" applyFont="1" applyFill="1" applyBorder="1" applyAlignment="1" applyProtection="1">
      <alignment horizontal="center" vertical="center"/>
    </xf>
    <xf numFmtId="44" fontId="10" fillId="14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"/>
      <protection locked="0"/>
    </xf>
    <xf numFmtId="6" fontId="2" fillId="0" borderId="0" xfId="0" applyNumberFormat="1" applyFont="1" applyBorder="1" applyAlignment="1" applyProtection="1">
      <alignment horizontal="center"/>
      <protection locked="0"/>
    </xf>
    <xf numFmtId="16" fontId="0" fillId="0" borderId="0" xfId="0" applyNumberFormat="1" applyFont="1" applyBorder="1" applyAlignment="1" applyProtection="1">
      <alignment horizontal="center" wrapText="1"/>
    </xf>
    <xf numFmtId="6" fontId="0" fillId="0" borderId="0" xfId="0" applyNumberFormat="1" applyBorder="1" applyAlignment="1" applyProtection="1">
      <alignment horizontal="center"/>
      <protection locked="0"/>
    </xf>
    <xf numFmtId="9" fontId="0" fillId="0" borderId="0" xfId="0" applyNumberForma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center"/>
      <protection locked="0"/>
    </xf>
    <xf numFmtId="3" fontId="0" fillId="0" borderId="0" xfId="0" applyNumberFormat="1" applyFont="1" applyFill="1" applyProtection="1">
      <protection locked="0"/>
    </xf>
    <xf numFmtId="164" fontId="0" fillId="0" borderId="0" xfId="0" applyNumberFormat="1" applyFont="1" applyFill="1" applyProtection="1">
      <protection locked="0"/>
    </xf>
    <xf numFmtId="0" fontId="0" fillId="0" borderId="0" xfId="0" applyFont="1" applyBorder="1" applyAlignment="1" applyProtection="1">
      <alignment horizontal="right"/>
      <protection locked="0"/>
    </xf>
    <xf numFmtId="8" fontId="0" fillId="0" borderId="0" xfId="0" applyNumberFormat="1" applyFont="1" applyBorder="1" applyProtection="1">
      <protection locked="0"/>
    </xf>
    <xf numFmtId="9" fontId="0" fillId="0" borderId="0" xfId="0" applyNumberFormat="1" applyFont="1" applyBorder="1" applyAlignment="1" applyProtection="1">
      <alignment horizontal="center"/>
      <protection locked="0"/>
    </xf>
    <xf numFmtId="0" fontId="0" fillId="0" borderId="0" xfId="0" applyFont="1" applyBorder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170" fontId="10" fillId="0" borderId="0" xfId="49" applyNumberFormat="1" applyFont="1" applyFill="1" applyBorder="1" applyAlignment="1" applyProtection="1">
      <alignment horizontal="right" vertical="center"/>
    </xf>
    <xf numFmtId="3" fontId="10" fillId="0" borderId="11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/>
    <xf numFmtId="172" fontId="0" fillId="0" borderId="0" xfId="50" applyNumberFormat="1" applyFont="1"/>
    <xf numFmtId="172" fontId="9" fillId="11" borderId="7" xfId="0" applyNumberFormat="1" applyFont="1" applyFill="1" applyBorder="1" applyAlignment="1" applyProtection="1">
      <alignment horizontal="center" vertical="center"/>
    </xf>
    <xf numFmtId="172" fontId="10" fillId="0" borderId="11" xfId="0" applyNumberFormat="1" applyFont="1" applyFill="1" applyBorder="1" applyAlignment="1" applyProtection="1">
      <alignment horizontal="right" vertical="center"/>
    </xf>
    <xf numFmtId="172" fontId="10" fillId="3" borderId="11" xfId="0" applyNumberFormat="1" applyFont="1" applyFill="1" applyBorder="1" applyAlignment="1" applyProtection="1">
      <alignment horizontal="right" vertical="center"/>
    </xf>
    <xf numFmtId="172" fontId="0" fillId="0" borderId="0" xfId="0" applyNumberFormat="1"/>
    <xf numFmtId="0" fontId="0" fillId="0" borderId="0" xfId="0"/>
    <xf numFmtId="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/>
    <xf numFmtId="0" fontId="0" fillId="0" borderId="0" xfId="0"/>
    <xf numFmtId="6" fontId="0" fillId="13" borderId="0" xfId="0" applyNumberFormat="1" applyFont="1" applyFill="1" applyBorder="1" applyProtection="1">
      <protection locked="0"/>
    </xf>
    <xf numFmtId="8" fontId="0" fillId="13" borderId="0" xfId="0" applyNumberFormat="1" applyFont="1" applyFill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  <xf numFmtId="15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44" fontId="0" fillId="0" borderId="0" xfId="50" applyFont="1" applyProtection="1">
      <protection locked="0"/>
    </xf>
    <xf numFmtId="10" fontId="0" fillId="0" borderId="0" xfId="53" applyNumberFormat="1" applyFont="1" applyAlignment="1" applyProtection="1">
      <alignment horizontal="right"/>
      <protection locked="0"/>
    </xf>
    <xf numFmtId="0" fontId="0" fillId="16" borderId="0" xfId="0" applyFont="1" applyFill="1" applyAlignment="1" applyProtection="1">
      <alignment horizontal="right"/>
      <protection locked="0"/>
    </xf>
    <xf numFmtId="8" fontId="0" fillId="0" borderId="0" xfId="0" applyNumberFormat="1" applyFont="1" applyProtection="1">
      <protection locked="0"/>
    </xf>
    <xf numFmtId="173" fontId="0" fillId="0" borderId="0" xfId="50" applyNumberFormat="1" applyFont="1" applyAlignment="1" applyProtection="1">
      <alignment horizontal="right"/>
      <protection locked="0"/>
    </xf>
    <xf numFmtId="0" fontId="14" fillId="0" borderId="0" xfId="54" applyAlignment="1" applyProtection="1">
      <alignment horizontal="left"/>
      <protection locked="0"/>
    </xf>
    <xf numFmtId="44" fontId="0" fillId="0" borderId="0" xfId="50" applyFont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Fill="1" applyBorder="1" applyAlignment="1"/>
    <xf numFmtId="0" fontId="0" fillId="0" borderId="0" xfId="0" applyFill="1" applyBorder="1" applyAlignment="1">
      <alignment wrapText="1"/>
    </xf>
    <xf numFmtId="6" fontId="2" fillId="0" borderId="3" xfId="0" applyNumberFormat="1" applyFont="1" applyFill="1" applyBorder="1" applyAlignment="1" applyProtection="1">
      <alignment horizontal="center" wrapText="1"/>
      <protection locked="0"/>
    </xf>
    <xf numFmtId="6" fontId="0" fillId="0" borderId="3" xfId="0" applyNumberFormat="1" applyFont="1" applyFill="1" applyBorder="1" applyAlignment="1" applyProtection="1">
      <alignment horizontal="right" wrapText="1"/>
      <protection locked="0"/>
    </xf>
    <xf numFmtId="6" fontId="0" fillId="0" borderId="0" xfId="0" applyNumberFormat="1" applyFont="1" applyFill="1" applyBorder="1" applyAlignment="1" applyProtection="1">
      <alignment horizontal="right"/>
      <protection locked="0"/>
    </xf>
    <xf numFmtId="6" fontId="0" fillId="0" borderId="0" xfId="0" applyNumberFormat="1" applyFont="1" applyFill="1" applyAlignment="1" applyProtection="1">
      <alignment horizontal="right"/>
      <protection locked="0"/>
    </xf>
    <xf numFmtId="8" fontId="0" fillId="0" borderId="3" xfId="0" applyNumberFormat="1" applyFont="1" applyFill="1" applyBorder="1" applyAlignment="1" applyProtection="1">
      <alignment horizontal="right"/>
      <protection locked="0"/>
    </xf>
    <xf numFmtId="0" fontId="15" fillId="0" borderId="12" xfId="0" applyFont="1" applyBorder="1" applyProtection="1">
      <protection locked="0"/>
    </xf>
    <xf numFmtId="0" fontId="0" fillId="0" borderId="13" xfId="0" applyFont="1" applyBorder="1" applyAlignment="1" applyProtection="1">
      <alignment horizontal="center"/>
      <protection locked="0"/>
    </xf>
    <xf numFmtId="3" fontId="0" fillId="0" borderId="13" xfId="0" applyNumberFormat="1" applyFont="1" applyBorder="1" applyProtection="1">
      <protection locked="0"/>
    </xf>
    <xf numFmtId="164" fontId="0" fillId="0" borderId="13" xfId="0" applyNumberFormat="1" applyFont="1" applyBorder="1" applyProtection="1">
      <protection locked="0"/>
    </xf>
    <xf numFmtId="15" fontId="2" fillId="0" borderId="13" xfId="0" applyNumberFormat="1" applyFont="1" applyBorder="1" applyAlignment="1" applyProtection="1">
      <alignment horizontal="center"/>
      <protection locked="0"/>
    </xf>
    <xf numFmtId="6" fontId="0" fillId="2" borderId="13" xfId="0" applyNumberFormat="1" applyFont="1" applyFill="1" applyBorder="1" applyAlignment="1" applyProtection="1">
      <alignment horizontal="right"/>
      <protection locked="0"/>
    </xf>
    <xf numFmtId="6" fontId="0" fillId="0" borderId="13" xfId="0" applyNumberFormat="1" applyFont="1" applyFill="1" applyBorder="1" applyAlignment="1" applyProtection="1">
      <alignment horizontal="right"/>
      <protection locked="0"/>
    </xf>
    <xf numFmtId="9" fontId="0" fillId="0" borderId="13" xfId="0" applyNumberFormat="1" applyFont="1" applyFill="1" applyBorder="1" applyProtection="1">
      <protection locked="0"/>
    </xf>
    <xf numFmtId="15" fontId="2" fillId="0" borderId="14" xfId="0" applyNumberFormat="1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left"/>
      <protection locked="0"/>
    </xf>
    <xf numFmtId="9" fontId="0" fillId="0" borderId="0" xfId="0" applyNumberFormat="1" applyFont="1" applyFill="1" applyBorder="1" applyProtection="1"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0" fillId="0" borderId="15" xfId="0" applyFont="1" applyBorder="1" applyProtection="1">
      <protection locked="0"/>
    </xf>
    <xf numFmtId="164" fontId="0" fillId="0" borderId="0" xfId="0" applyNumberFormat="1" applyFont="1" applyBorder="1" applyProtection="1">
      <protection locked="0"/>
    </xf>
    <xf numFmtId="0" fontId="3" fillId="0" borderId="15" xfId="0" applyFont="1" applyBorder="1"/>
    <xf numFmtId="44" fontId="0" fillId="0" borderId="0" xfId="11" applyFont="1" applyBorder="1" applyProtection="1">
      <protection locked="0"/>
    </xf>
    <xf numFmtId="8" fontId="0" fillId="13" borderId="16" xfId="0" applyNumberFormat="1" applyFont="1" applyFill="1" applyBorder="1" applyProtection="1">
      <protection locked="0"/>
    </xf>
    <xf numFmtId="0" fontId="5" fillId="0" borderId="15" xfId="0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Font="1" applyBorder="1" applyAlignment="1" applyProtection="1">
      <alignment horizontal="center"/>
      <protection locked="0"/>
    </xf>
    <xf numFmtId="0" fontId="0" fillId="0" borderId="17" xfId="0" applyFont="1" applyBorder="1" applyProtection="1">
      <protection locked="0"/>
    </xf>
    <xf numFmtId="0" fontId="0" fillId="0" borderId="18" xfId="0" applyFont="1" applyBorder="1" applyAlignment="1" applyProtection="1">
      <alignment horizontal="center"/>
      <protection locked="0"/>
    </xf>
    <xf numFmtId="174" fontId="0" fillId="0" borderId="18" xfId="53" applyNumberFormat="1" applyFont="1" applyBorder="1" applyProtection="1">
      <protection locked="0"/>
    </xf>
    <xf numFmtId="164" fontId="0" fillId="0" borderId="18" xfId="0" applyNumberFormat="1" applyFont="1" applyBorder="1" applyProtection="1">
      <protection locked="0"/>
    </xf>
    <xf numFmtId="6" fontId="0" fillId="2" borderId="18" xfId="0" applyNumberFormat="1" applyFont="1" applyFill="1" applyBorder="1" applyAlignment="1" applyProtection="1">
      <alignment horizontal="right"/>
      <protection locked="0"/>
    </xf>
    <xf numFmtId="6" fontId="0" fillId="0" borderId="18" xfId="0" applyNumberFormat="1" applyFont="1" applyFill="1" applyBorder="1" applyAlignment="1" applyProtection="1">
      <alignment horizontal="right"/>
      <protection locked="0"/>
    </xf>
    <xf numFmtId="9" fontId="0" fillId="0" borderId="18" xfId="0" applyNumberFormat="1" applyFont="1" applyFill="1" applyBorder="1" applyProtection="1">
      <protection locked="0"/>
    </xf>
    <xf numFmtId="175" fontId="0" fillId="0" borderId="19" xfId="0" applyNumberFormat="1" applyFont="1" applyBorder="1" applyProtection="1">
      <protection locked="0"/>
    </xf>
    <xf numFmtId="8" fontId="0" fillId="15" borderId="9" xfId="0" applyNumberFormat="1" applyFont="1" applyFill="1" applyBorder="1" applyProtection="1">
      <protection locked="0"/>
    </xf>
    <xf numFmtId="176" fontId="0" fillId="0" borderId="0" xfId="0" applyNumberFormat="1" applyAlignment="1"/>
    <xf numFmtId="176" fontId="10" fillId="0" borderId="11" xfId="0" applyNumberFormat="1" applyFont="1" applyFill="1" applyBorder="1" applyAlignment="1" applyProtection="1">
      <alignment horizontal="right" vertical="center"/>
    </xf>
    <xf numFmtId="44" fontId="10" fillId="13" borderId="11" xfId="0" applyNumberFormat="1" applyFont="1" applyFill="1" applyBorder="1" applyAlignment="1" applyProtection="1">
      <alignment horizontal="right" vertical="center"/>
    </xf>
    <xf numFmtId="44" fontId="0" fillId="0" borderId="0" xfId="0" applyNumberFormat="1" applyBorder="1" applyAlignment="1"/>
    <xf numFmtId="44" fontId="0" fillId="0" borderId="11" xfId="0" applyNumberFormat="1" applyBorder="1" applyAlignment="1"/>
    <xf numFmtId="44" fontId="10" fillId="3" borderId="11" xfId="50" applyNumberFormat="1" applyFont="1" applyFill="1" applyBorder="1" applyAlignment="1" applyProtection="1">
      <alignment horizontal="right" vertical="center"/>
    </xf>
    <xf numFmtId="44" fontId="10" fillId="0" borderId="11" xfId="50" applyNumberFormat="1" applyFont="1" applyFill="1" applyBorder="1" applyAlignment="1" applyProtection="1">
      <alignment horizontal="right" vertical="center"/>
    </xf>
    <xf numFmtId="44" fontId="10" fillId="13" borderId="0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0" fontId="10" fillId="15" borderId="0" xfId="0" applyFont="1" applyFill="1" applyBorder="1" applyAlignment="1" applyProtection="1">
      <alignment vertical="center"/>
    </xf>
    <xf numFmtId="9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Border="1"/>
    <xf numFmtId="0" fontId="0" fillId="0" borderId="3" xfId="0" applyFont="1" applyBorder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/>
  </cellXfs>
  <cellStyles count="55">
    <cellStyle name="Analysis-" xfId="1"/>
    <cellStyle name="Analysis_" xfId="2"/>
    <cellStyle name="Comma" xfId="49" builtinId="3"/>
    <cellStyle name="Comma 2" xfId="3"/>
    <cellStyle name="Comma 2 2" xfId="4"/>
    <cellStyle name="Comma 3" xfId="5"/>
    <cellStyle name="Cost_Display" xfId="6"/>
    <cellStyle name="Cost-Display" xfId="7"/>
    <cellStyle name="Cost-Entry" xfId="8"/>
    <cellStyle name="Currency" xfId="50" builtinId="4"/>
    <cellStyle name="Currency 2" xfId="9"/>
    <cellStyle name="Currency 2 2" xfId="10"/>
    <cellStyle name="Currency 3" xfId="11"/>
    <cellStyle name="Days-" xfId="12"/>
    <cellStyle name="Days_" xfId="13"/>
    <cellStyle name="Days-Display" xfId="14"/>
    <cellStyle name="Hyperlink" xfId="54" builtinId="8"/>
    <cellStyle name="Info_Display" xfId="15"/>
    <cellStyle name="Info-Display" xfId="16"/>
    <cellStyle name="Info-Entry" xfId="17"/>
    <cellStyle name="Normal" xfId="0" builtinId="0"/>
    <cellStyle name="Normal 10" xfId="18"/>
    <cellStyle name="Normal 11" xfId="19"/>
    <cellStyle name="Normal 12" xfId="51"/>
    <cellStyle name="Normal 13" xfId="52"/>
    <cellStyle name="Normal 2" xfId="20"/>
    <cellStyle name="Normal 2 2" xfId="21"/>
    <cellStyle name="Normal 2 3" xfId="22"/>
    <cellStyle name="Normal 3" xfId="23"/>
    <cellStyle name="Normal 3 2" xfId="24"/>
    <cellStyle name="Normal 3 2 2" xfId="25"/>
    <cellStyle name="Normal 3 3" xfId="26"/>
    <cellStyle name="Normal 3 4" xfId="27"/>
    <cellStyle name="Normal 3 5" xfId="28"/>
    <cellStyle name="Normal 4" xfId="29"/>
    <cellStyle name="Normal 4 2" xfId="30"/>
    <cellStyle name="Normal 4 2 2" xfId="31"/>
    <cellStyle name="Normal 4 3" xfId="32"/>
    <cellStyle name="Normal 4 4" xfId="33"/>
    <cellStyle name="Normal 4 5" xfId="34"/>
    <cellStyle name="Normal 5" xfId="35"/>
    <cellStyle name="Normal 6" xfId="36"/>
    <cellStyle name="Normal 6 2" xfId="37"/>
    <cellStyle name="Normal 7" xfId="38"/>
    <cellStyle name="Normal 7 2" xfId="39"/>
    <cellStyle name="Normal 8" xfId="40"/>
    <cellStyle name="Normal 9" xfId="41"/>
    <cellStyle name="Percent" xfId="53" builtinId="5"/>
    <cellStyle name="Price" xfId="42"/>
    <cellStyle name="Quant_Display" xfId="43"/>
    <cellStyle name="Quant-Display" xfId="44"/>
    <cellStyle name="Quant-Entry" xfId="45"/>
    <cellStyle name="Revenue_Display" xfId="46"/>
    <cellStyle name="Revenue-Display" xfId="47"/>
    <cellStyle name="Revenue-Entry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groups/SCS%20Fossil%20Hydro%20Project%20Controls/Estimating/DISMANTLEMENT%20STUDIES/MISSISSIPPI%20POWER/2013/Backup/14%2007%2031%20Daniel%20Estimate%20from%20Brandenbur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iel"/>
      <sheetName val="Daniel Import"/>
      <sheetName val="Daniel Import (to MPC Study)"/>
      <sheetName val="Daniel Import (to Gulf Study)"/>
      <sheetName val="Daniel from Brandenburg"/>
      <sheetName val="Ownership %"/>
      <sheetName val="Durations"/>
    </sheetNames>
    <sheetDataSet>
      <sheetData sheetId="0">
        <row r="56">
          <cell r="E56">
            <v>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metalprices.com/metal/cupro-nickel/cupro-nickel-c706" TargetMode="External"/><Relationship Id="rId3" Type="http://schemas.openxmlformats.org/officeDocument/2006/relationships/hyperlink" Target="http://www.metalprices.com/historical/database/copper/lme-copper-cash-official" TargetMode="External"/><Relationship Id="rId7" Type="http://schemas.openxmlformats.org/officeDocument/2006/relationships/hyperlink" Target="http://www.metalprices.com/historical/database/stainless-steel/stainless-steel-304-s-p" TargetMode="External"/><Relationship Id="rId2" Type="http://schemas.openxmlformats.org/officeDocument/2006/relationships/hyperlink" Target="http://www.metalprices.com/historical/database/aluminum/lme-aluminum-cash-official" TargetMode="External"/><Relationship Id="rId1" Type="http://schemas.openxmlformats.org/officeDocument/2006/relationships/hyperlink" Target="http://www.metalprices.com/historical/database/ferrous-scrap-price-index/fe-spi-5-plate-structural-birmingham" TargetMode="External"/><Relationship Id="rId6" Type="http://schemas.openxmlformats.org/officeDocument/2006/relationships/hyperlink" Target="http://www.metalprices.com/historical/database/brass/brass-yellow-brass" TargetMode="External"/><Relationship Id="rId5" Type="http://schemas.openxmlformats.org/officeDocument/2006/relationships/hyperlink" Target="http://www.metalprices.com/historical/database/stainless-steel/stainless-steel-304-s-p" TargetMode="External"/><Relationship Id="rId4" Type="http://schemas.openxmlformats.org/officeDocument/2006/relationships/hyperlink" Target="http://www.metalprices.com/historical/database/stainless-steel/stainless-steel-304-s-p" TargetMode="External"/><Relationship Id="rId9" Type="http://schemas.openxmlformats.org/officeDocument/2006/relationships/hyperlink" Target="http://www.metalprices.com/metal/titanium/titanium-scrap-ferro-ti-quality-turnings-non-tin-bearing-gt-85-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70"/>
  <sheetViews>
    <sheetView showZeros="0" zoomScale="85" zoomScaleNormal="85" zoomScaleSheetLayoutView="10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M51" sqref="M51"/>
    </sheetView>
  </sheetViews>
  <sheetFormatPr defaultRowHeight="15" x14ac:dyDescent="0.25"/>
  <cols>
    <col min="1" max="1" width="2.42578125" style="1" customWidth="1"/>
    <col min="2" max="2" width="51.7109375" style="2" customWidth="1"/>
    <col min="3" max="3" width="4.85546875" style="62" bestFit="1" customWidth="1"/>
    <col min="4" max="4" width="10.140625" style="63" bestFit="1" customWidth="1"/>
    <col min="5" max="5" width="11.85546875" style="64" bestFit="1" customWidth="1"/>
    <col min="6" max="6" width="13.5703125" style="65" bestFit="1" customWidth="1"/>
    <col min="7" max="7" width="1.85546875" style="66" customWidth="1"/>
    <col min="8" max="8" width="15.5703125" style="161" customWidth="1"/>
    <col min="9" max="9" width="1.85546875" style="66" customWidth="1"/>
    <col min="10" max="10" width="5.5703125" style="67" bestFit="1" customWidth="1"/>
    <col min="11" max="11" width="10.140625" style="62" customWidth="1"/>
    <col min="12" max="12" width="5.5703125" style="68" bestFit="1" customWidth="1"/>
    <col min="13" max="13" width="10" style="6" customWidth="1"/>
    <col min="14" max="14" width="4.5703125" style="6" bestFit="1" customWidth="1"/>
    <col min="15" max="15" width="9.28515625" style="2" customWidth="1"/>
    <col min="16" max="16" width="2" style="66" customWidth="1"/>
    <col min="17" max="17" width="5.7109375" style="67" bestFit="1" customWidth="1"/>
    <col min="18" max="18" width="10.85546875" style="6" bestFit="1" customWidth="1"/>
    <col min="19" max="19" width="5.5703125" style="68" bestFit="1" customWidth="1"/>
    <col min="20" max="20" width="10.85546875" style="6" bestFit="1" customWidth="1"/>
    <col min="21" max="21" width="5.5703125" style="6" bestFit="1" customWidth="1"/>
    <col min="22" max="22" width="10.85546875" style="2" bestFit="1" customWidth="1"/>
    <col min="23" max="23" width="1.42578125" style="69" customWidth="1"/>
    <col min="24" max="24" width="5.5703125" style="67" bestFit="1" customWidth="1"/>
    <col min="25" max="25" width="12.5703125" style="6" bestFit="1" customWidth="1"/>
    <col min="26" max="26" width="5.5703125" style="68" bestFit="1" customWidth="1"/>
    <col min="27" max="27" width="11.5703125" style="6" bestFit="1" customWidth="1"/>
    <col min="28" max="28" width="5.5703125" style="6" bestFit="1" customWidth="1"/>
    <col min="29" max="29" width="11.5703125" style="2" bestFit="1" customWidth="1"/>
    <col min="30" max="30" width="1.28515625" style="69" customWidth="1"/>
    <col min="31" max="31" width="5.5703125" style="67" bestFit="1" customWidth="1"/>
    <col min="32" max="32" width="11.5703125" style="6" customWidth="1"/>
    <col min="33" max="33" width="5.7109375" style="68" bestFit="1" customWidth="1"/>
    <col min="34" max="34" width="11.5703125" style="6" bestFit="1" customWidth="1"/>
    <col min="35" max="35" width="5.7109375" style="6" bestFit="1" customWidth="1"/>
    <col min="36" max="36" width="11.5703125" style="2" bestFit="1" customWidth="1"/>
    <col min="37" max="37" width="1.7109375" style="69" customWidth="1"/>
    <col min="38" max="38" width="5.5703125" style="67" bestFit="1" customWidth="1"/>
    <col min="39" max="39" width="11.5703125" style="6" customWidth="1"/>
    <col min="40" max="40" width="5.5703125" style="68" bestFit="1" customWidth="1"/>
    <col min="41" max="41" width="11.5703125" style="6" bestFit="1" customWidth="1"/>
    <col min="42" max="42" width="5.5703125" style="6" bestFit="1" customWidth="1"/>
    <col min="43" max="43" width="11.5703125" style="2" bestFit="1" customWidth="1"/>
    <col min="44" max="44" width="1.28515625" style="69" customWidth="1"/>
    <col min="45" max="45" width="5.7109375" style="67" bestFit="1" customWidth="1"/>
    <col min="46" max="46" width="11.5703125" style="6" customWidth="1"/>
    <col min="47" max="47" width="5.5703125" style="68" bestFit="1" customWidth="1"/>
    <col min="48" max="48" width="11.5703125" style="6" bestFit="1" customWidth="1"/>
    <col min="49" max="49" width="5.5703125" style="6" bestFit="1" customWidth="1"/>
    <col min="50" max="50" width="11.5703125" style="2" bestFit="1" customWidth="1"/>
    <col min="51" max="51" width="2.42578125" style="69" customWidth="1"/>
    <col min="52" max="52" width="4.7109375" style="67" bestFit="1" customWidth="1"/>
    <col min="53" max="53" width="11.85546875" style="6" bestFit="1" customWidth="1"/>
    <col min="54" max="54" width="5.5703125" style="68" bestFit="1" customWidth="1"/>
    <col min="55" max="55" width="8.28515625" style="6" bestFit="1" customWidth="1"/>
    <col min="56" max="56" width="6.5703125" style="6" bestFit="1" customWidth="1"/>
    <col min="57" max="57" width="8.28515625" style="2" bestFit="1" customWidth="1"/>
    <col min="58" max="58" width="1.85546875" style="69" customWidth="1"/>
    <col min="59" max="59" width="5.5703125" style="67" bestFit="1" customWidth="1"/>
    <col min="60" max="60" width="11.5703125" style="6" customWidth="1"/>
    <col min="61" max="61" width="5.5703125" style="68" bestFit="1" customWidth="1"/>
    <col min="62" max="62" width="11.5703125" style="6" bestFit="1" customWidth="1"/>
    <col min="63" max="63" width="5.5703125" style="6" bestFit="1" customWidth="1"/>
    <col min="64" max="64" width="11.5703125" style="2" bestFit="1" customWidth="1"/>
    <col min="65" max="65" width="36.42578125" style="5" bestFit="1" customWidth="1"/>
    <col min="66" max="67" width="36.42578125" style="6" bestFit="1" customWidth="1"/>
    <col min="68" max="16384" width="9.140625" style="2"/>
  </cols>
  <sheetData>
    <row r="1" spans="1:68" x14ac:dyDescent="0.25">
      <c r="C1" s="208" t="s">
        <v>0</v>
      </c>
      <c r="D1" s="209"/>
      <c r="E1" s="209"/>
      <c r="F1" s="209"/>
      <c r="G1" s="3"/>
      <c r="H1" s="156"/>
      <c r="I1" s="3"/>
      <c r="J1" s="202" t="s">
        <v>1</v>
      </c>
      <c r="K1" s="203"/>
      <c r="L1" s="203"/>
      <c r="M1" s="203"/>
      <c r="N1" s="203"/>
      <c r="O1" s="203"/>
      <c r="P1" s="3"/>
      <c r="Q1" s="202" t="s">
        <v>2</v>
      </c>
      <c r="R1" s="203"/>
      <c r="S1" s="203"/>
      <c r="T1" s="203"/>
      <c r="U1" s="203"/>
      <c r="V1" s="203"/>
      <c r="W1" s="4"/>
      <c r="X1" s="202" t="s">
        <v>3</v>
      </c>
      <c r="Y1" s="203"/>
      <c r="Z1" s="203"/>
      <c r="AA1" s="203"/>
      <c r="AB1" s="203"/>
      <c r="AC1" s="203"/>
      <c r="AD1" s="4"/>
      <c r="AE1" s="202" t="s">
        <v>4</v>
      </c>
      <c r="AF1" s="203"/>
      <c r="AG1" s="203"/>
      <c r="AH1" s="203"/>
      <c r="AI1" s="203"/>
      <c r="AJ1" s="203"/>
      <c r="AK1" s="4"/>
      <c r="AL1" s="202" t="s">
        <v>5</v>
      </c>
      <c r="AM1" s="203"/>
      <c r="AN1" s="203"/>
      <c r="AO1" s="203"/>
      <c r="AP1" s="203"/>
      <c r="AQ1" s="203"/>
      <c r="AR1" s="4"/>
      <c r="AS1" s="202" t="s">
        <v>6</v>
      </c>
      <c r="AT1" s="203"/>
      <c r="AU1" s="203"/>
      <c r="AV1" s="203"/>
      <c r="AW1" s="203"/>
      <c r="AX1" s="203"/>
      <c r="AY1" s="4"/>
      <c r="AZ1" s="202" t="s">
        <v>7</v>
      </c>
      <c r="BA1" s="203"/>
      <c r="BB1" s="203"/>
      <c r="BC1" s="203"/>
      <c r="BD1" s="203"/>
      <c r="BE1" s="203"/>
      <c r="BF1" s="4"/>
      <c r="BG1" s="202" t="s">
        <v>8</v>
      </c>
      <c r="BH1" s="203"/>
      <c r="BI1" s="203"/>
      <c r="BJ1" s="203"/>
      <c r="BK1" s="203"/>
      <c r="BL1" s="203"/>
    </row>
    <row r="2" spans="1:68" s="8" customFormat="1" ht="57.75" customHeight="1" x14ac:dyDescent="0.25">
      <c r="A2" s="7"/>
      <c r="C2" s="204"/>
      <c r="D2" s="205"/>
      <c r="E2" s="205"/>
      <c r="F2" s="205"/>
      <c r="G2" s="9"/>
      <c r="H2" s="157"/>
      <c r="I2" s="9"/>
      <c r="J2" s="10"/>
      <c r="K2" s="11"/>
      <c r="L2" s="206" t="s">
        <v>170</v>
      </c>
      <c r="M2" s="207"/>
      <c r="N2" s="206" t="s">
        <v>171</v>
      </c>
      <c r="O2" s="207"/>
      <c r="P2" s="9"/>
      <c r="Q2" s="10"/>
      <c r="R2" s="11"/>
      <c r="S2" s="206" t="s">
        <v>170</v>
      </c>
      <c r="T2" s="207"/>
      <c r="U2" s="206" t="s">
        <v>171</v>
      </c>
      <c r="V2" s="207"/>
      <c r="W2" s="12"/>
      <c r="X2" s="10"/>
      <c r="Y2" s="11"/>
      <c r="Z2" s="206" t="s">
        <v>170</v>
      </c>
      <c r="AA2" s="207"/>
      <c r="AB2" s="206" t="s">
        <v>171</v>
      </c>
      <c r="AC2" s="207"/>
      <c r="AD2" s="12"/>
      <c r="AE2" s="10"/>
      <c r="AF2" s="11"/>
      <c r="AG2" s="206" t="s">
        <v>170</v>
      </c>
      <c r="AH2" s="207"/>
      <c r="AI2" s="206" t="s">
        <v>171</v>
      </c>
      <c r="AJ2" s="207"/>
      <c r="AK2" s="12"/>
      <c r="AL2" s="10"/>
      <c r="AM2" s="11"/>
      <c r="AN2" s="206" t="s">
        <v>170</v>
      </c>
      <c r="AO2" s="207"/>
      <c r="AP2" s="206" t="s">
        <v>171</v>
      </c>
      <c r="AQ2" s="207"/>
      <c r="AR2" s="12"/>
      <c r="AS2" s="10"/>
      <c r="AT2" s="11"/>
      <c r="AU2" s="206" t="s">
        <v>170</v>
      </c>
      <c r="AV2" s="207"/>
      <c r="AW2" s="206" t="s">
        <v>171</v>
      </c>
      <c r="AX2" s="207"/>
      <c r="AY2" s="12"/>
      <c r="AZ2" s="10"/>
      <c r="BA2" s="11"/>
      <c r="BB2" s="206" t="s">
        <v>170</v>
      </c>
      <c r="BC2" s="207"/>
      <c r="BD2" s="206" t="s">
        <v>171</v>
      </c>
      <c r="BE2" s="207"/>
      <c r="BF2" s="12"/>
      <c r="BG2" s="10"/>
      <c r="BH2" s="11"/>
      <c r="BI2" s="206" t="s">
        <v>170</v>
      </c>
      <c r="BJ2" s="207"/>
      <c r="BK2" s="206" t="s">
        <v>171</v>
      </c>
      <c r="BL2" s="207"/>
      <c r="BM2" s="13"/>
      <c r="BN2" s="14"/>
      <c r="BO2" s="14"/>
    </row>
    <row r="3" spans="1:68" s="15" customFormat="1" ht="60" customHeight="1" x14ac:dyDescent="0.25">
      <c r="B3" s="15" t="s">
        <v>9</v>
      </c>
      <c r="C3" s="16" t="s">
        <v>10</v>
      </c>
      <c r="D3" s="17" t="s">
        <v>11</v>
      </c>
      <c r="E3" s="18" t="s">
        <v>12</v>
      </c>
      <c r="F3" s="19" t="s">
        <v>13</v>
      </c>
      <c r="G3" s="20"/>
      <c r="H3" s="158" t="s">
        <v>219</v>
      </c>
      <c r="I3" s="20"/>
      <c r="J3" s="21" t="s">
        <v>14</v>
      </c>
      <c r="K3" s="22" t="s">
        <v>0</v>
      </c>
      <c r="L3" s="23" t="s">
        <v>14</v>
      </c>
      <c r="M3" s="24" t="s">
        <v>13</v>
      </c>
      <c r="N3" s="25" t="s">
        <v>14</v>
      </c>
      <c r="O3" s="24" t="s">
        <v>13</v>
      </c>
      <c r="P3" s="20"/>
      <c r="Q3" s="21" t="s">
        <v>14</v>
      </c>
      <c r="R3" s="22" t="s">
        <v>0</v>
      </c>
      <c r="S3" s="23" t="s">
        <v>14</v>
      </c>
      <c r="T3" s="24" t="s">
        <v>13</v>
      </c>
      <c r="U3" s="25" t="s">
        <v>14</v>
      </c>
      <c r="V3" s="24" t="s">
        <v>13</v>
      </c>
      <c r="W3" s="26"/>
      <c r="X3" s="21" t="s">
        <v>14</v>
      </c>
      <c r="Y3" s="22" t="s">
        <v>0</v>
      </c>
      <c r="Z3" s="23" t="s">
        <v>14</v>
      </c>
      <c r="AA3" s="24" t="s">
        <v>13</v>
      </c>
      <c r="AB3" s="25" t="s">
        <v>14</v>
      </c>
      <c r="AC3" s="24" t="s">
        <v>13</v>
      </c>
      <c r="AD3" s="26"/>
      <c r="AE3" s="21" t="s">
        <v>14</v>
      </c>
      <c r="AF3" s="22" t="s">
        <v>0</v>
      </c>
      <c r="AG3" s="23" t="s">
        <v>14</v>
      </c>
      <c r="AH3" s="24" t="s">
        <v>13</v>
      </c>
      <c r="AI3" s="25" t="s">
        <v>14</v>
      </c>
      <c r="AJ3" s="24" t="s">
        <v>13</v>
      </c>
      <c r="AK3" s="26"/>
      <c r="AL3" s="21" t="s">
        <v>14</v>
      </c>
      <c r="AM3" s="22" t="s">
        <v>0</v>
      </c>
      <c r="AN3" s="23" t="s">
        <v>14</v>
      </c>
      <c r="AO3" s="24" t="s">
        <v>13</v>
      </c>
      <c r="AP3" s="25" t="s">
        <v>14</v>
      </c>
      <c r="AQ3" s="24" t="s">
        <v>13</v>
      </c>
      <c r="AR3" s="26"/>
      <c r="AS3" s="21" t="s">
        <v>14</v>
      </c>
      <c r="AT3" s="22" t="s">
        <v>0</v>
      </c>
      <c r="AU3" s="23" t="s">
        <v>14</v>
      </c>
      <c r="AV3" s="24" t="s">
        <v>13</v>
      </c>
      <c r="AW3" s="25" t="s">
        <v>14</v>
      </c>
      <c r="AX3" s="24" t="s">
        <v>13</v>
      </c>
      <c r="AY3" s="26"/>
      <c r="AZ3" s="21" t="s">
        <v>14</v>
      </c>
      <c r="BA3" s="22" t="s">
        <v>0</v>
      </c>
      <c r="BB3" s="23" t="s">
        <v>14</v>
      </c>
      <c r="BC3" s="24" t="s">
        <v>13</v>
      </c>
      <c r="BD3" s="25" t="s">
        <v>14</v>
      </c>
      <c r="BE3" s="24" t="s">
        <v>13</v>
      </c>
      <c r="BF3" s="26"/>
      <c r="BG3" s="21" t="s">
        <v>14</v>
      </c>
      <c r="BH3" s="22" t="s">
        <v>0</v>
      </c>
      <c r="BI3" s="23" t="s">
        <v>14</v>
      </c>
      <c r="BJ3" s="24" t="s">
        <v>13</v>
      </c>
      <c r="BK3" s="25" t="s">
        <v>14</v>
      </c>
      <c r="BL3" s="24" t="s">
        <v>13</v>
      </c>
      <c r="BM3" s="27" t="s">
        <v>15</v>
      </c>
      <c r="BN3" s="28" t="s">
        <v>16</v>
      </c>
      <c r="BO3" s="28" t="s">
        <v>17</v>
      </c>
      <c r="BP3" s="15" t="s">
        <v>18</v>
      </c>
    </row>
    <row r="4" spans="1:68" s="15" customFormat="1" x14ac:dyDescent="0.25">
      <c r="A4" s="29" t="s">
        <v>19</v>
      </c>
      <c r="C4" s="30"/>
      <c r="D4" s="31"/>
      <c r="E4" s="32"/>
      <c r="F4" s="33">
        <f t="shared" ref="F4:F17" si="0">D4*E4</f>
        <v>0</v>
      </c>
      <c r="G4" s="34"/>
      <c r="H4" s="159"/>
      <c r="I4" s="34"/>
      <c r="J4" s="35"/>
      <c r="K4" s="36">
        <f>J4*$F4</f>
        <v>0</v>
      </c>
      <c r="L4" s="37"/>
      <c r="M4" s="38">
        <f>L4*K4</f>
        <v>0</v>
      </c>
      <c r="N4" s="37"/>
      <c r="O4" s="38">
        <f>N4*K4</f>
        <v>0</v>
      </c>
      <c r="P4" s="34"/>
      <c r="Q4" s="35"/>
      <c r="R4" s="36">
        <f>Q4*$F4</f>
        <v>0</v>
      </c>
      <c r="S4" s="37"/>
      <c r="T4" s="38">
        <f>S4*R4</f>
        <v>0</v>
      </c>
      <c r="U4" s="37"/>
      <c r="V4" s="38">
        <f>U4*R4</f>
        <v>0</v>
      </c>
      <c r="W4" s="39"/>
      <c r="X4" s="35"/>
      <c r="Y4" s="36">
        <f>X4*$F4</f>
        <v>0</v>
      </c>
      <c r="Z4" s="37"/>
      <c r="AA4" s="38">
        <f>Z4*Y4</f>
        <v>0</v>
      </c>
      <c r="AB4" s="37"/>
      <c r="AC4" s="38">
        <f>AB4*Y4</f>
        <v>0</v>
      </c>
      <c r="AD4" s="39"/>
      <c r="AE4" s="35"/>
      <c r="AF4" s="36">
        <f>AE4*$F4</f>
        <v>0</v>
      </c>
      <c r="AG4" s="37"/>
      <c r="AH4" s="38">
        <f>AG4*AF4</f>
        <v>0</v>
      </c>
      <c r="AI4" s="37"/>
      <c r="AJ4" s="38">
        <f>AI4*AF4</f>
        <v>0</v>
      </c>
      <c r="AK4" s="39"/>
      <c r="AL4" s="35"/>
      <c r="AM4" s="36">
        <f>AL4*$F4</f>
        <v>0</v>
      </c>
      <c r="AN4" s="37"/>
      <c r="AO4" s="38">
        <f>AN4*AM4</f>
        <v>0</v>
      </c>
      <c r="AP4" s="37"/>
      <c r="AQ4" s="38">
        <f>AP4*AM4</f>
        <v>0</v>
      </c>
      <c r="AR4" s="39"/>
      <c r="AS4" s="35"/>
      <c r="AT4" s="36">
        <f>AS4*$F4</f>
        <v>0</v>
      </c>
      <c r="AU4" s="37"/>
      <c r="AV4" s="38">
        <f>AU4*AT4</f>
        <v>0</v>
      </c>
      <c r="AW4" s="37"/>
      <c r="AX4" s="38">
        <f>AW4*AT4</f>
        <v>0</v>
      </c>
      <c r="AY4" s="39"/>
      <c r="AZ4" s="35"/>
      <c r="BA4" s="36">
        <f>AZ4*$F4</f>
        <v>0</v>
      </c>
      <c r="BB4" s="37"/>
      <c r="BC4" s="38">
        <f>BB4*BA4</f>
        <v>0</v>
      </c>
      <c r="BD4" s="37"/>
      <c r="BE4" s="38">
        <f>BD4*BA4</f>
        <v>0</v>
      </c>
      <c r="BF4" s="39"/>
      <c r="BG4" s="35"/>
      <c r="BH4" s="36">
        <f>BG4*$F4</f>
        <v>0</v>
      </c>
      <c r="BI4" s="37"/>
      <c r="BJ4" s="38">
        <f>BI4*BH4</f>
        <v>0</v>
      </c>
      <c r="BK4" s="37"/>
      <c r="BL4" s="38">
        <f>BK4*BH4</f>
        <v>0</v>
      </c>
      <c r="BM4" s="40">
        <f t="shared" ref="BM4:BM27" si="1">F4</f>
        <v>0</v>
      </c>
      <c r="BN4" s="40">
        <f t="shared" ref="BN4:BN27" si="2">K4+R4+Y4+AF4+AM4+AT4+BA4+BH4</f>
        <v>0</v>
      </c>
      <c r="BO4" s="40" t="e">
        <f>M4+O4+#REF!+#REF!+#REF!+T4+V4+#REF!+#REF!+#REF!+AA4+AC4+#REF!+#REF!+#REF!+AH4+AJ4+#REF!+#REF!+#REF!+AO4+AQ4+#REF!+#REF!+#REF!+AV4+AX4+#REF!+#REF!+#REF!+BC4+BE4+#REF!+#REF!+#REF!+BJ4+BL4+#REF!+#REF!+#REF!</f>
        <v>#REF!</v>
      </c>
      <c r="BP4" s="15" t="e">
        <f>IF(AND(BM4=BN4,BN4=BO4,BM4=BO4),0,1)</f>
        <v>#REF!</v>
      </c>
    </row>
    <row r="5" spans="1:68" s="15" customFormat="1" x14ac:dyDescent="0.25">
      <c r="B5" s="2" t="s">
        <v>20</v>
      </c>
      <c r="C5" s="41" t="s">
        <v>21</v>
      </c>
      <c r="D5" s="42">
        <v>1</v>
      </c>
      <c r="E5" s="33">
        <v>50000</v>
      </c>
      <c r="F5" s="92">
        <v>50000</v>
      </c>
      <c r="G5" s="39"/>
      <c r="H5" s="162">
        <v>50000</v>
      </c>
      <c r="I5" s="39"/>
      <c r="J5" s="35">
        <v>1</v>
      </c>
      <c r="K5" s="36">
        <f t="shared" ref="K5:K7" si="3">J5*$F5</f>
        <v>50000</v>
      </c>
      <c r="L5" s="37">
        <v>0.5</v>
      </c>
      <c r="M5" s="38">
        <f t="shared" ref="M5:M7" si="4">L5*K5</f>
        <v>25000</v>
      </c>
      <c r="N5" s="37">
        <v>0.5</v>
      </c>
      <c r="O5" s="38">
        <f t="shared" ref="O5:O7" si="5">N5*K5</f>
        <v>25000</v>
      </c>
      <c r="P5" s="39"/>
      <c r="Q5" s="35"/>
      <c r="R5" s="36">
        <f t="shared" ref="R5:R7" si="6">Q5*$F5</f>
        <v>0</v>
      </c>
      <c r="S5" s="37"/>
      <c r="T5" s="38">
        <f t="shared" ref="T5:T7" si="7">S5*R5</f>
        <v>0</v>
      </c>
      <c r="U5" s="37"/>
      <c r="V5" s="38">
        <f t="shared" ref="V5:V7" si="8">U5*R5</f>
        <v>0</v>
      </c>
      <c r="W5" s="39"/>
      <c r="X5" s="35"/>
      <c r="Y5" s="36">
        <f t="shared" ref="Y5:Y7" si="9">X5*$F5</f>
        <v>0</v>
      </c>
      <c r="Z5" s="37"/>
      <c r="AA5" s="38">
        <f t="shared" ref="AA5:AA7" si="10">Z5*Y5</f>
        <v>0</v>
      </c>
      <c r="AB5" s="37"/>
      <c r="AC5" s="38">
        <f t="shared" ref="AC5:AC7" si="11">AB5*Y5</f>
        <v>0</v>
      </c>
      <c r="AD5" s="39"/>
      <c r="AE5" s="35"/>
      <c r="AF5" s="36">
        <f t="shared" ref="AF5:AF7" si="12">AE5*$F5</f>
        <v>0</v>
      </c>
      <c r="AG5" s="37"/>
      <c r="AH5" s="38">
        <f t="shared" ref="AH5:AH7" si="13">AG5*AF5</f>
        <v>0</v>
      </c>
      <c r="AI5" s="37"/>
      <c r="AJ5" s="38">
        <f t="shared" ref="AJ5:AJ7" si="14">AI5*AF5</f>
        <v>0</v>
      </c>
      <c r="AK5" s="39"/>
      <c r="AL5" s="35"/>
      <c r="AM5" s="36">
        <f t="shared" ref="AM5:AM7" si="15">AL5*$F5</f>
        <v>0</v>
      </c>
      <c r="AN5" s="37"/>
      <c r="AO5" s="38">
        <f t="shared" ref="AO5:AO7" si="16">AN5*AM5</f>
        <v>0</v>
      </c>
      <c r="AP5" s="37"/>
      <c r="AQ5" s="38">
        <f t="shared" ref="AQ5:AQ7" si="17">AP5*AM5</f>
        <v>0</v>
      </c>
      <c r="AR5" s="39"/>
      <c r="AS5" s="35"/>
      <c r="AT5" s="36">
        <f t="shared" ref="AT5:AT7" si="18">AS5*$F5</f>
        <v>0</v>
      </c>
      <c r="AU5" s="37"/>
      <c r="AV5" s="38">
        <f t="shared" ref="AV5:AV7" si="19">AU5*AT5</f>
        <v>0</v>
      </c>
      <c r="AW5" s="37"/>
      <c r="AX5" s="38">
        <f t="shared" ref="AX5:AX7" si="20">AW5*AT5</f>
        <v>0</v>
      </c>
      <c r="AY5" s="39"/>
      <c r="AZ5" s="35"/>
      <c r="BA5" s="36">
        <f t="shared" ref="BA5:BA7" si="21">AZ5*$F5</f>
        <v>0</v>
      </c>
      <c r="BB5" s="37"/>
      <c r="BC5" s="38">
        <f t="shared" ref="BC5:BC7" si="22">BB5*BA5</f>
        <v>0</v>
      </c>
      <c r="BD5" s="37"/>
      <c r="BE5" s="38">
        <f t="shared" ref="BE5:BE7" si="23">BD5*BA5</f>
        <v>0</v>
      </c>
      <c r="BF5" s="39"/>
      <c r="BG5" s="35"/>
      <c r="BH5" s="36">
        <f t="shared" ref="BH5:BH7" si="24">BG5*$F5</f>
        <v>0</v>
      </c>
      <c r="BI5" s="37"/>
      <c r="BJ5" s="38">
        <f t="shared" ref="BJ5:BJ7" si="25">BI5*BH5</f>
        <v>0</v>
      </c>
      <c r="BK5" s="37"/>
      <c r="BL5" s="38">
        <f t="shared" ref="BL5:BL7" si="26">BK5*BH5</f>
        <v>0</v>
      </c>
      <c r="BM5" s="40">
        <f t="shared" si="1"/>
        <v>50000</v>
      </c>
      <c r="BN5" s="40">
        <f t="shared" si="2"/>
        <v>50000</v>
      </c>
      <c r="BO5" s="40" t="e">
        <f>M5+O5+#REF!+#REF!+#REF!+T5+V5+#REF!+#REF!+#REF!+AA5+AC5+#REF!+#REF!+#REF!+AH5+AJ5+#REF!+#REF!+#REF!+AO5+AQ5+#REF!+#REF!+#REF!+AV5+AX5+#REF!+#REF!+#REF!+BC5+BE5+#REF!+#REF!+#REF!+BJ5+BL5+#REF!+#REF!+#REF!</f>
        <v>#REF!</v>
      </c>
      <c r="BP5" s="15" t="e">
        <f>IF(AND(BM5=BN5,BN5=BO5,BM5=BO5),0,1)</f>
        <v>#REF!</v>
      </c>
    </row>
    <row r="6" spans="1:68" s="15" customFormat="1" x14ac:dyDescent="0.25">
      <c r="B6" s="2" t="s">
        <v>22</v>
      </c>
      <c r="C6" s="41" t="s">
        <v>21</v>
      </c>
      <c r="D6" s="42">
        <v>1</v>
      </c>
      <c r="E6" s="33">
        <v>125000</v>
      </c>
      <c r="F6" s="92">
        <v>125000</v>
      </c>
      <c r="G6" s="39"/>
      <c r="H6" s="162">
        <v>125000</v>
      </c>
      <c r="I6" s="39"/>
      <c r="J6" s="35">
        <v>1</v>
      </c>
      <c r="K6" s="36">
        <f t="shared" si="3"/>
        <v>125000</v>
      </c>
      <c r="L6" s="37">
        <v>0.5</v>
      </c>
      <c r="M6" s="38">
        <f t="shared" si="4"/>
        <v>62500</v>
      </c>
      <c r="N6" s="37">
        <v>0.5</v>
      </c>
      <c r="O6" s="38">
        <f t="shared" si="5"/>
        <v>62500</v>
      </c>
      <c r="P6" s="39"/>
      <c r="Q6" s="35"/>
      <c r="R6" s="36">
        <f t="shared" si="6"/>
        <v>0</v>
      </c>
      <c r="S6" s="37"/>
      <c r="T6" s="38">
        <f t="shared" si="7"/>
        <v>0</v>
      </c>
      <c r="U6" s="37"/>
      <c r="V6" s="38">
        <f t="shared" si="8"/>
        <v>0</v>
      </c>
      <c r="W6" s="39"/>
      <c r="X6" s="35"/>
      <c r="Y6" s="36">
        <f t="shared" si="9"/>
        <v>0</v>
      </c>
      <c r="Z6" s="37"/>
      <c r="AA6" s="38">
        <f t="shared" si="10"/>
        <v>0</v>
      </c>
      <c r="AB6" s="37"/>
      <c r="AC6" s="38">
        <f t="shared" si="11"/>
        <v>0</v>
      </c>
      <c r="AD6" s="39"/>
      <c r="AE6" s="35"/>
      <c r="AF6" s="36">
        <f t="shared" si="12"/>
        <v>0</v>
      </c>
      <c r="AG6" s="37"/>
      <c r="AH6" s="38">
        <f t="shared" si="13"/>
        <v>0</v>
      </c>
      <c r="AI6" s="37"/>
      <c r="AJ6" s="38">
        <f t="shared" si="14"/>
        <v>0</v>
      </c>
      <c r="AK6" s="39"/>
      <c r="AL6" s="35"/>
      <c r="AM6" s="36">
        <f t="shared" si="15"/>
        <v>0</v>
      </c>
      <c r="AN6" s="37"/>
      <c r="AO6" s="38">
        <f t="shared" si="16"/>
        <v>0</v>
      </c>
      <c r="AP6" s="37"/>
      <c r="AQ6" s="38">
        <f t="shared" si="17"/>
        <v>0</v>
      </c>
      <c r="AR6" s="39"/>
      <c r="AS6" s="35"/>
      <c r="AT6" s="36">
        <f t="shared" si="18"/>
        <v>0</v>
      </c>
      <c r="AU6" s="37"/>
      <c r="AV6" s="38">
        <f t="shared" si="19"/>
        <v>0</v>
      </c>
      <c r="AW6" s="37"/>
      <c r="AX6" s="38">
        <f t="shared" si="20"/>
        <v>0</v>
      </c>
      <c r="AY6" s="39"/>
      <c r="AZ6" s="35"/>
      <c r="BA6" s="36">
        <f t="shared" si="21"/>
        <v>0</v>
      </c>
      <c r="BB6" s="37"/>
      <c r="BC6" s="38">
        <f t="shared" si="22"/>
        <v>0</v>
      </c>
      <c r="BD6" s="37"/>
      <c r="BE6" s="38">
        <f t="shared" si="23"/>
        <v>0</v>
      </c>
      <c r="BF6" s="39"/>
      <c r="BG6" s="35"/>
      <c r="BH6" s="36">
        <f t="shared" si="24"/>
        <v>0</v>
      </c>
      <c r="BI6" s="37"/>
      <c r="BJ6" s="38">
        <f t="shared" si="25"/>
        <v>0</v>
      </c>
      <c r="BK6" s="37"/>
      <c r="BL6" s="38">
        <f t="shared" si="26"/>
        <v>0</v>
      </c>
      <c r="BM6" s="40">
        <f t="shared" si="1"/>
        <v>125000</v>
      </c>
      <c r="BN6" s="40">
        <f t="shared" si="2"/>
        <v>125000</v>
      </c>
      <c r="BO6" s="40" t="e">
        <f>M6+O6+#REF!+#REF!+#REF!+T6+V6+#REF!+#REF!+#REF!+AA6+AC6+#REF!+#REF!+#REF!+AH6+AJ6+#REF!+#REF!+#REF!+AO6+AQ6+#REF!+#REF!+#REF!+AV6+AX6+#REF!+#REF!+#REF!+BC6+BE6+#REF!+#REF!+#REF!+BJ6+BL6+#REF!+#REF!+#REF!</f>
        <v>#REF!</v>
      </c>
      <c r="BP6" s="15" t="e">
        <f t="shared" ref="BP6:BP48" si="27">IF(AND(BM6=BN6,BN6=BO6,BM6=BO6),0,1)</f>
        <v>#REF!</v>
      </c>
    </row>
    <row r="7" spans="1:68" s="15" customFormat="1" x14ac:dyDescent="0.25">
      <c r="B7" s="43" t="s">
        <v>23</v>
      </c>
      <c r="C7" s="41" t="s">
        <v>21</v>
      </c>
      <c r="D7" s="42">
        <v>1</v>
      </c>
      <c r="E7" s="33">
        <v>30000</v>
      </c>
      <c r="F7" s="92">
        <v>30000</v>
      </c>
      <c r="G7" s="39"/>
      <c r="H7" s="162">
        <v>30000</v>
      </c>
      <c r="I7" s="39"/>
      <c r="J7" s="35">
        <v>1</v>
      </c>
      <c r="K7" s="36">
        <f t="shared" si="3"/>
        <v>30000</v>
      </c>
      <c r="L7" s="37">
        <v>0.5</v>
      </c>
      <c r="M7" s="38">
        <f t="shared" si="4"/>
        <v>15000</v>
      </c>
      <c r="N7" s="37">
        <v>0.5</v>
      </c>
      <c r="O7" s="38">
        <f t="shared" si="5"/>
        <v>15000</v>
      </c>
      <c r="P7" s="39"/>
      <c r="Q7" s="35"/>
      <c r="R7" s="36">
        <f t="shared" si="6"/>
        <v>0</v>
      </c>
      <c r="S7" s="37"/>
      <c r="T7" s="38">
        <f t="shared" si="7"/>
        <v>0</v>
      </c>
      <c r="U7" s="37"/>
      <c r="V7" s="38">
        <f t="shared" si="8"/>
        <v>0</v>
      </c>
      <c r="W7" s="39"/>
      <c r="X7" s="35"/>
      <c r="Y7" s="36">
        <f t="shared" si="9"/>
        <v>0</v>
      </c>
      <c r="Z7" s="37"/>
      <c r="AA7" s="38">
        <f t="shared" si="10"/>
        <v>0</v>
      </c>
      <c r="AB7" s="37"/>
      <c r="AC7" s="38">
        <f t="shared" si="11"/>
        <v>0</v>
      </c>
      <c r="AD7" s="39"/>
      <c r="AE7" s="35"/>
      <c r="AF7" s="36">
        <f t="shared" si="12"/>
        <v>0</v>
      </c>
      <c r="AG7" s="37"/>
      <c r="AH7" s="38">
        <f t="shared" si="13"/>
        <v>0</v>
      </c>
      <c r="AI7" s="37"/>
      <c r="AJ7" s="38">
        <f t="shared" si="14"/>
        <v>0</v>
      </c>
      <c r="AK7" s="39"/>
      <c r="AL7" s="35"/>
      <c r="AM7" s="36">
        <f t="shared" si="15"/>
        <v>0</v>
      </c>
      <c r="AN7" s="37"/>
      <c r="AO7" s="38">
        <f t="shared" si="16"/>
        <v>0</v>
      </c>
      <c r="AP7" s="37"/>
      <c r="AQ7" s="38">
        <f t="shared" si="17"/>
        <v>0</v>
      </c>
      <c r="AR7" s="39"/>
      <c r="AS7" s="35"/>
      <c r="AT7" s="36">
        <f t="shared" si="18"/>
        <v>0</v>
      </c>
      <c r="AU7" s="37"/>
      <c r="AV7" s="38">
        <f t="shared" si="19"/>
        <v>0</v>
      </c>
      <c r="AW7" s="37"/>
      <c r="AX7" s="38">
        <f t="shared" si="20"/>
        <v>0</v>
      </c>
      <c r="AY7" s="39"/>
      <c r="AZ7" s="35"/>
      <c r="BA7" s="36">
        <f t="shared" si="21"/>
        <v>0</v>
      </c>
      <c r="BB7" s="37"/>
      <c r="BC7" s="38">
        <f t="shared" si="22"/>
        <v>0</v>
      </c>
      <c r="BD7" s="37"/>
      <c r="BE7" s="38">
        <f t="shared" si="23"/>
        <v>0</v>
      </c>
      <c r="BF7" s="39"/>
      <c r="BG7" s="35"/>
      <c r="BH7" s="36">
        <f t="shared" si="24"/>
        <v>0</v>
      </c>
      <c r="BI7" s="37"/>
      <c r="BJ7" s="38">
        <f t="shared" si="25"/>
        <v>0</v>
      </c>
      <c r="BK7" s="37"/>
      <c r="BL7" s="38">
        <f t="shared" si="26"/>
        <v>0</v>
      </c>
      <c r="BM7" s="40">
        <f t="shared" si="1"/>
        <v>30000</v>
      </c>
      <c r="BN7" s="40">
        <f t="shared" si="2"/>
        <v>30000</v>
      </c>
      <c r="BO7" s="40" t="e">
        <f>M7+O7+#REF!+#REF!+#REF!+T7+V7+#REF!+#REF!+#REF!+AA7+AC7+#REF!+#REF!+#REF!+AH7+AJ7+#REF!+#REF!+#REF!+AO7+AQ7+#REF!+#REF!+#REF!+AV7+AX7+#REF!+#REF!+#REF!+BC7+BE7+#REF!+#REF!+#REF!+BJ7+BL7+#REF!+#REF!+#REF!</f>
        <v>#REF!</v>
      </c>
      <c r="BP7" s="15" t="e">
        <f t="shared" si="27"/>
        <v>#REF!</v>
      </c>
    </row>
    <row r="8" spans="1:68" s="15" customFormat="1" x14ac:dyDescent="0.25">
      <c r="B8" s="2"/>
      <c r="C8" s="44"/>
      <c r="D8" s="42"/>
      <c r="E8" s="33"/>
      <c r="F8" s="33"/>
      <c r="G8" s="39"/>
      <c r="H8" s="162">
        <v>0</v>
      </c>
      <c r="I8" s="39"/>
      <c r="J8" s="35"/>
      <c r="K8" s="36">
        <f t="shared" ref="K8:K24" si="28">J8*$F8</f>
        <v>0</v>
      </c>
      <c r="L8" s="37"/>
      <c r="M8" s="38">
        <f t="shared" ref="M8:M24" si="29">L8*K8</f>
        <v>0</v>
      </c>
      <c r="N8" s="37"/>
      <c r="O8" s="38">
        <f t="shared" ref="O8:O24" si="30">N8*K8</f>
        <v>0</v>
      </c>
      <c r="P8" s="39"/>
      <c r="Q8" s="35"/>
      <c r="R8" s="36">
        <f t="shared" ref="R8:R24" si="31">Q8*$F8</f>
        <v>0</v>
      </c>
      <c r="S8" s="37"/>
      <c r="T8" s="38">
        <f t="shared" ref="T8:T24" si="32">S8*R8</f>
        <v>0</v>
      </c>
      <c r="U8" s="37"/>
      <c r="V8" s="38">
        <f t="shared" ref="V8:V24" si="33">U8*R8</f>
        <v>0</v>
      </c>
      <c r="W8" s="39"/>
      <c r="X8" s="35"/>
      <c r="Y8" s="36">
        <f t="shared" ref="Y8:Y24" si="34">X8*$F8</f>
        <v>0</v>
      </c>
      <c r="Z8" s="37"/>
      <c r="AA8" s="38">
        <f t="shared" ref="AA8:AA24" si="35">Z8*Y8</f>
        <v>0</v>
      </c>
      <c r="AB8" s="37"/>
      <c r="AC8" s="38">
        <f t="shared" ref="AC8:AC24" si="36">AB8*Y8</f>
        <v>0</v>
      </c>
      <c r="AD8" s="39"/>
      <c r="AE8" s="35"/>
      <c r="AF8" s="36">
        <f t="shared" ref="AF8:AF24" si="37">AE8*$F8</f>
        <v>0</v>
      </c>
      <c r="AG8" s="37"/>
      <c r="AH8" s="38">
        <f t="shared" ref="AH8:AH24" si="38">AG8*AF8</f>
        <v>0</v>
      </c>
      <c r="AI8" s="37"/>
      <c r="AJ8" s="38">
        <f t="shared" ref="AJ8:AJ24" si="39">AI8*AF8</f>
        <v>0</v>
      </c>
      <c r="AK8" s="39"/>
      <c r="AL8" s="35"/>
      <c r="AM8" s="36">
        <f t="shared" ref="AM8:AM24" si="40">AL8*$F8</f>
        <v>0</v>
      </c>
      <c r="AN8" s="37"/>
      <c r="AO8" s="38">
        <f t="shared" ref="AO8:AO24" si="41">AN8*AM8</f>
        <v>0</v>
      </c>
      <c r="AP8" s="37"/>
      <c r="AQ8" s="38">
        <f t="shared" ref="AQ8:AQ24" si="42">AP8*AM8</f>
        <v>0</v>
      </c>
      <c r="AR8" s="39"/>
      <c r="AS8" s="35"/>
      <c r="AT8" s="36">
        <f t="shared" ref="AT8:AT24" si="43">AS8*$F8</f>
        <v>0</v>
      </c>
      <c r="AU8" s="37"/>
      <c r="AV8" s="38">
        <f t="shared" ref="AV8:AV24" si="44">AU8*AT8</f>
        <v>0</v>
      </c>
      <c r="AW8" s="37"/>
      <c r="AX8" s="38">
        <f t="shared" ref="AX8:AX24" si="45">AW8*AT8</f>
        <v>0</v>
      </c>
      <c r="AY8" s="39"/>
      <c r="AZ8" s="35"/>
      <c r="BA8" s="36">
        <f t="shared" ref="BA8:BA24" si="46">AZ8*$F8</f>
        <v>0</v>
      </c>
      <c r="BB8" s="37"/>
      <c r="BC8" s="38">
        <f t="shared" ref="BC8:BC24" si="47">BB8*BA8</f>
        <v>0</v>
      </c>
      <c r="BD8" s="37"/>
      <c r="BE8" s="38">
        <f t="shared" ref="BE8:BE24" si="48">BD8*BA8</f>
        <v>0</v>
      </c>
      <c r="BF8" s="39"/>
      <c r="BG8" s="35"/>
      <c r="BH8" s="36">
        <f t="shared" ref="BH8:BH24" si="49">BG8*$F8</f>
        <v>0</v>
      </c>
      <c r="BI8" s="37"/>
      <c r="BJ8" s="38">
        <f t="shared" ref="BJ8:BJ24" si="50">BI8*BH8</f>
        <v>0</v>
      </c>
      <c r="BK8" s="37"/>
      <c r="BL8" s="38">
        <f t="shared" ref="BL8:BL24" si="51">BK8*BH8</f>
        <v>0</v>
      </c>
      <c r="BM8" s="40">
        <f t="shared" si="1"/>
        <v>0</v>
      </c>
      <c r="BN8" s="40">
        <f t="shared" si="2"/>
        <v>0</v>
      </c>
      <c r="BO8" s="40" t="e">
        <f>M8+O8+#REF!+#REF!+#REF!+T8+V8+#REF!+#REF!+#REF!+AA8+AC8+#REF!+#REF!+#REF!+AH8+AJ8+#REF!+#REF!+#REF!+AO8+AQ8+#REF!+#REF!+#REF!+AV8+AX8+#REF!+#REF!+#REF!+BC8+BE8+#REF!+#REF!+#REF!+BJ8+BL8+#REF!+#REF!+#REF!</f>
        <v>#REF!</v>
      </c>
      <c r="BP8" s="15" t="e">
        <f t="shared" si="27"/>
        <v>#REF!</v>
      </c>
    </row>
    <row r="9" spans="1:68" x14ac:dyDescent="0.25">
      <c r="A9" s="1" t="s">
        <v>24</v>
      </c>
      <c r="C9" s="44"/>
      <c r="D9" s="42"/>
      <c r="E9" s="33"/>
      <c r="F9" s="33">
        <f t="shared" si="0"/>
        <v>0</v>
      </c>
      <c r="G9" s="39"/>
      <c r="H9" s="162">
        <v>0</v>
      </c>
      <c r="I9" s="39"/>
      <c r="J9" s="35"/>
      <c r="K9" s="36">
        <f t="shared" si="28"/>
        <v>0</v>
      </c>
      <c r="L9" s="37"/>
      <c r="M9" s="38">
        <f t="shared" si="29"/>
        <v>0</v>
      </c>
      <c r="N9" s="37"/>
      <c r="O9" s="38">
        <f t="shared" si="30"/>
        <v>0</v>
      </c>
      <c r="P9" s="39"/>
      <c r="Q9" s="35"/>
      <c r="R9" s="36">
        <f t="shared" si="31"/>
        <v>0</v>
      </c>
      <c r="S9" s="37"/>
      <c r="T9" s="38">
        <f t="shared" si="32"/>
        <v>0</v>
      </c>
      <c r="U9" s="37"/>
      <c r="V9" s="38">
        <f t="shared" si="33"/>
        <v>0</v>
      </c>
      <c r="W9" s="39"/>
      <c r="X9" s="35"/>
      <c r="Y9" s="36">
        <f t="shared" si="34"/>
        <v>0</v>
      </c>
      <c r="Z9" s="37"/>
      <c r="AA9" s="38">
        <f t="shared" si="35"/>
        <v>0</v>
      </c>
      <c r="AB9" s="37"/>
      <c r="AC9" s="38">
        <f t="shared" si="36"/>
        <v>0</v>
      </c>
      <c r="AD9" s="39"/>
      <c r="AE9" s="35"/>
      <c r="AF9" s="36">
        <f t="shared" si="37"/>
        <v>0</v>
      </c>
      <c r="AG9" s="37"/>
      <c r="AH9" s="38">
        <f t="shared" si="38"/>
        <v>0</v>
      </c>
      <c r="AI9" s="37"/>
      <c r="AJ9" s="38">
        <f t="shared" si="39"/>
        <v>0</v>
      </c>
      <c r="AK9" s="39"/>
      <c r="AL9" s="35"/>
      <c r="AM9" s="36">
        <f t="shared" si="40"/>
        <v>0</v>
      </c>
      <c r="AN9" s="37"/>
      <c r="AO9" s="38">
        <f t="shared" si="41"/>
        <v>0</v>
      </c>
      <c r="AP9" s="37"/>
      <c r="AQ9" s="38">
        <f t="shared" si="42"/>
        <v>0</v>
      </c>
      <c r="AR9" s="39"/>
      <c r="AS9" s="35"/>
      <c r="AT9" s="36">
        <f t="shared" si="43"/>
        <v>0</v>
      </c>
      <c r="AU9" s="37"/>
      <c r="AV9" s="38">
        <f t="shared" si="44"/>
        <v>0</v>
      </c>
      <c r="AW9" s="37"/>
      <c r="AX9" s="38">
        <f t="shared" si="45"/>
        <v>0</v>
      </c>
      <c r="AY9" s="39"/>
      <c r="AZ9" s="35"/>
      <c r="BA9" s="36">
        <f t="shared" si="46"/>
        <v>0</v>
      </c>
      <c r="BB9" s="37"/>
      <c r="BC9" s="38">
        <f t="shared" si="47"/>
        <v>0</v>
      </c>
      <c r="BD9" s="37"/>
      <c r="BE9" s="38">
        <f t="shared" si="48"/>
        <v>0</v>
      </c>
      <c r="BF9" s="39"/>
      <c r="BG9" s="35"/>
      <c r="BH9" s="36">
        <f t="shared" si="49"/>
        <v>0</v>
      </c>
      <c r="BI9" s="37"/>
      <c r="BJ9" s="38">
        <f t="shared" si="50"/>
        <v>0</v>
      </c>
      <c r="BK9" s="37"/>
      <c r="BL9" s="38">
        <f t="shared" si="51"/>
        <v>0</v>
      </c>
      <c r="BM9" s="40">
        <f t="shared" si="1"/>
        <v>0</v>
      </c>
      <c r="BN9" s="40">
        <f t="shared" si="2"/>
        <v>0</v>
      </c>
      <c r="BO9" s="40" t="e">
        <f>M9+O9+#REF!+#REF!+#REF!+T9+V9+#REF!+#REF!+#REF!+AA9+AC9+#REF!+#REF!+#REF!+AH9+AJ9+#REF!+#REF!+#REF!+AO9+AQ9+#REF!+#REF!+#REF!+AV9+AX9+#REF!+#REF!+#REF!+BC9+BE9+#REF!+#REF!+#REF!+BJ9+BL9+#REF!+#REF!+#REF!</f>
        <v>#REF!</v>
      </c>
      <c r="BP9" s="15" t="e">
        <f t="shared" si="27"/>
        <v>#REF!</v>
      </c>
    </row>
    <row r="10" spans="1:68" x14ac:dyDescent="0.25">
      <c r="A10" s="2"/>
      <c r="B10" s="2" t="s">
        <v>25</v>
      </c>
      <c r="C10" s="41" t="s">
        <v>21</v>
      </c>
      <c r="D10" s="52">
        <v>1</v>
      </c>
      <c r="E10" s="33">
        <v>150000</v>
      </c>
      <c r="F10" s="92">
        <v>150000</v>
      </c>
      <c r="G10" s="39"/>
      <c r="H10" s="162">
        <v>150000</v>
      </c>
      <c r="I10" s="39"/>
      <c r="J10" s="35">
        <v>0.125</v>
      </c>
      <c r="K10" s="36">
        <f t="shared" si="28"/>
        <v>18750</v>
      </c>
      <c r="L10" s="37">
        <v>0.5</v>
      </c>
      <c r="M10" s="38">
        <f t="shared" si="29"/>
        <v>9375</v>
      </c>
      <c r="N10" s="37">
        <v>0.5</v>
      </c>
      <c r="O10" s="38">
        <f t="shared" si="30"/>
        <v>9375</v>
      </c>
      <c r="P10" s="39"/>
      <c r="Q10" s="35">
        <v>0.125</v>
      </c>
      <c r="R10" s="36">
        <f t="shared" si="31"/>
        <v>18750</v>
      </c>
      <c r="S10" s="37">
        <v>0.5</v>
      </c>
      <c r="T10" s="38">
        <f t="shared" si="32"/>
        <v>9375</v>
      </c>
      <c r="U10" s="37">
        <v>0.5</v>
      </c>
      <c r="V10" s="38">
        <f t="shared" si="33"/>
        <v>9375</v>
      </c>
      <c r="W10" s="39"/>
      <c r="X10" s="35">
        <v>0.125</v>
      </c>
      <c r="Y10" s="36">
        <f t="shared" si="34"/>
        <v>18750</v>
      </c>
      <c r="Z10" s="37">
        <v>0.5</v>
      </c>
      <c r="AA10" s="38">
        <f t="shared" si="35"/>
        <v>9375</v>
      </c>
      <c r="AB10" s="37">
        <v>0.5</v>
      </c>
      <c r="AC10" s="38">
        <f t="shared" si="36"/>
        <v>9375</v>
      </c>
      <c r="AD10" s="39"/>
      <c r="AE10" s="35">
        <v>0.125</v>
      </c>
      <c r="AF10" s="36">
        <f t="shared" si="37"/>
        <v>18750</v>
      </c>
      <c r="AG10" s="37">
        <v>0.5</v>
      </c>
      <c r="AH10" s="38">
        <f t="shared" si="38"/>
        <v>9375</v>
      </c>
      <c r="AI10" s="37">
        <v>0.5</v>
      </c>
      <c r="AJ10" s="38">
        <f t="shared" si="39"/>
        <v>9375</v>
      </c>
      <c r="AK10" s="39"/>
      <c r="AL10" s="35">
        <v>0.125</v>
      </c>
      <c r="AM10" s="36">
        <f t="shared" si="40"/>
        <v>18750</v>
      </c>
      <c r="AN10" s="37">
        <v>0.5</v>
      </c>
      <c r="AO10" s="38">
        <f t="shared" si="41"/>
        <v>9375</v>
      </c>
      <c r="AP10" s="37">
        <v>0.5</v>
      </c>
      <c r="AQ10" s="38">
        <f t="shared" si="42"/>
        <v>9375</v>
      </c>
      <c r="AR10" s="39"/>
      <c r="AS10" s="35">
        <v>0.125</v>
      </c>
      <c r="AT10" s="36">
        <f t="shared" si="43"/>
        <v>18750</v>
      </c>
      <c r="AU10" s="37">
        <v>0.5</v>
      </c>
      <c r="AV10" s="38">
        <f t="shared" si="44"/>
        <v>9375</v>
      </c>
      <c r="AW10" s="37">
        <v>0.5</v>
      </c>
      <c r="AX10" s="38">
        <f t="shared" si="45"/>
        <v>9375</v>
      </c>
      <c r="AY10" s="39"/>
      <c r="AZ10" s="35">
        <v>0.125</v>
      </c>
      <c r="BA10" s="36">
        <f t="shared" si="46"/>
        <v>18750</v>
      </c>
      <c r="BB10" s="37">
        <v>0.5</v>
      </c>
      <c r="BC10" s="38">
        <f t="shared" si="47"/>
        <v>9375</v>
      </c>
      <c r="BD10" s="37">
        <v>0.5</v>
      </c>
      <c r="BE10" s="38">
        <f t="shared" si="48"/>
        <v>9375</v>
      </c>
      <c r="BF10" s="39"/>
      <c r="BG10" s="35">
        <v>0.125</v>
      </c>
      <c r="BH10" s="36">
        <f t="shared" si="49"/>
        <v>18750</v>
      </c>
      <c r="BI10" s="37">
        <v>0.5</v>
      </c>
      <c r="BJ10" s="38">
        <f t="shared" si="50"/>
        <v>9375</v>
      </c>
      <c r="BK10" s="37">
        <v>0.5</v>
      </c>
      <c r="BL10" s="38">
        <f t="shared" si="51"/>
        <v>9375</v>
      </c>
      <c r="BM10" s="40">
        <f t="shared" si="1"/>
        <v>150000</v>
      </c>
      <c r="BN10" s="40">
        <f t="shared" si="2"/>
        <v>150000</v>
      </c>
      <c r="BO10" s="40" t="e">
        <f>M10+O10+#REF!+#REF!+#REF!+T10+V10+#REF!+#REF!+#REF!+AA10+AC10+#REF!+#REF!+#REF!+AH10+AJ10+#REF!+#REF!+#REF!+AO10+AQ10+#REF!+#REF!+#REF!+AV10+AX10+#REF!+#REF!+#REF!+BC10+BE10+#REF!+#REF!+#REF!+BJ10+BL10+#REF!+#REF!+#REF!</f>
        <v>#REF!</v>
      </c>
      <c r="BP10" s="15" t="e">
        <f t="shared" si="27"/>
        <v>#REF!</v>
      </c>
    </row>
    <row r="11" spans="1:68" x14ac:dyDescent="0.25">
      <c r="B11" s="45" t="s">
        <v>26</v>
      </c>
      <c r="C11" s="41" t="s">
        <v>27</v>
      </c>
      <c r="D11" s="42">
        <v>100000</v>
      </c>
      <c r="E11" s="191">
        <f>H11*$K$69</f>
        <v>4.5918000000000001</v>
      </c>
      <c r="F11" s="101"/>
      <c r="G11" s="39"/>
      <c r="H11" s="162">
        <v>4.5</v>
      </c>
      <c r="I11" s="39"/>
      <c r="J11" s="35"/>
      <c r="K11" s="36"/>
      <c r="L11" s="37"/>
      <c r="M11" s="38"/>
      <c r="N11" s="37"/>
      <c r="O11" s="38"/>
      <c r="P11" s="39"/>
      <c r="Q11" s="35"/>
      <c r="R11" s="36"/>
      <c r="S11" s="37"/>
      <c r="T11" s="38"/>
      <c r="U11" s="37"/>
      <c r="V11" s="38"/>
      <c r="W11" s="39"/>
      <c r="X11" s="35"/>
      <c r="Y11" s="36"/>
      <c r="Z11" s="37"/>
      <c r="AA11" s="38"/>
      <c r="AB11" s="37"/>
      <c r="AC11" s="38"/>
      <c r="AD11" s="39"/>
      <c r="AE11" s="35"/>
      <c r="AF11" s="36"/>
      <c r="AG11" s="37"/>
      <c r="AH11" s="38"/>
      <c r="AI11" s="37"/>
      <c r="AJ11" s="38"/>
      <c r="AK11" s="39"/>
      <c r="AL11" s="35"/>
      <c r="AM11" s="36"/>
      <c r="AN11" s="37"/>
      <c r="AO11" s="38"/>
      <c r="AP11" s="37"/>
      <c r="AQ11" s="38"/>
      <c r="AR11" s="39"/>
      <c r="AS11" s="35"/>
      <c r="AT11" s="36"/>
      <c r="AU11" s="37"/>
      <c r="AV11" s="38"/>
      <c r="AW11" s="37"/>
      <c r="AX11" s="38"/>
      <c r="AY11" s="39"/>
      <c r="AZ11" s="35"/>
      <c r="BA11" s="36"/>
      <c r="BB11" s="37"/>
      <c r="BC11" s="38"/>
      <c r="BD11" s="37"/>
      <c r="BE11" s="38"/>
      <c r="BF11" s="39"/>
      <c r="BG11" s="35"/>
      <c r="BH11" s="36"/>
      <c r="BI11" s="37"/>
      <c r="BJ11" s="38"/>
      <c r="BK11" s="37"/>
      <c r="BL11" s="38"/>
      <c r="BM11" s="40">
        <f t="shared" si="1"/>
        <v>0</v>
      </c>
      <c r="BN11" s="40">
        <f t="shared" si="2"/>
        <v>0</v>
      </c>
      <c r="BO11" s="40" t="e">
        <f>M11+O11+#REF!+#REF!+#REF!+T11+V11+#REF!+#REF!+#REF!+AA11+AC11+#REF!+#REF!+#REF!+AH11+AJ11+#REF!+#REF!+#REF!+AO11+AQ11+#REF!+#REF!+#REF!+AV11+AX11+#REF!+#REF!+#REF!+BC11+BE11+#REF!+#REF!+#REF!+BJ11+BL11+#REF!+#REF!+#REF!</f>
        <v>#REF!</v>
      </c>
      <c r="BP11" s="15" t="e">
        <f t="shared" si="27"/>
        <v>#REF!</v>
      </c>
    </row>
    <row r="12" spans="1:68" x14ac:dyDescent="0.25">
      <c r="B12" s="45" t="s">
        <v>28</v>
      </c>
      <c r="C12" s="41" t="s">
        <v>21</v>
      </c>
      <c r="D12" s="42">
        <v>1</v>
      </c>
      <c r="E12" s="33">
        <v>100000</v>
      </c>
      <c r="F12" s="101"/>
      <c r="G12" s="39"/>
      <c r="H12" s="162">
        <v>100000</v>
      </c>
      <c r="I12" s="39"/>
      <c r="J12" s="35"/>
      <c r="K12" s="36"/>
      <c r="L12" s="37"/>
      <c r="M12" s="38"/>
      <c r="N12" s="37"/>
      <c r="O12" s="38"/>
      <c r="P12" s="39"/>
      <c r="Q12" s="35"/>
      <c r="R12" s="36"/>
      <c r="S12" s="37"/>
      <c r="T12" s="38"/>
      <c r="U12" s="37"/>
      <c r="V12" s="38"/>
      <c r="W12" s="39"/>
      <c r="X12" s="35"/>
      <c r="Y12" s="36"/>
      <c r="Z12" s="37"/>
      <c r="AA12" s="38"/>
      <c r="AB12" s="37"/>
      <c r="AC12" s="38"/>
      <c r="AD12" s="39"/>
      <c r="AE12" s="35"/>
      <c r="AF12" s="36"/>
      <c r="AG12" s="37"/>
      <c r="AH12" s="38"/>
      <c r="AI12" s="37"/>
      <c r="AJ12" s="38"/>
      <c r="AK12" s="39"/>
      <c r="AL12" s="35"/>
      <c r="AM12" s="36"/>
      <c r="AN12" s="37"/>
      <c r="AO12" s="38"/>
      <c r="AP12" s="37"/>
      <c r="AQ12" s="38"/>
      <c r="AR12" s="39"/>
      <c r="AS12" s="35"/>
      <c r="AT12" s="36"/>
      <c r="AU12" s="37"/>
      <c r="AV12" s="38"/>
      <c r="AW12" s="37"/>
      <c r="AX12" s="38"/>
      <c r="AY12" s="39"/>
      <c r="AZ12" s="35"/>
      <c r="BA12" s="36"/>
      <c r="BB12" s="37"/>
      <c r="BC12" s="38"/>
      <c r="BD12" s="37"/>
      <c r="BE12" s="38"/>
      <c r="BF12" s="39"/>
      <c r="BG12" s="35"/>
      <c r="BH12" s="36"/>
      <c r="BI12" s="37"/>
      <c r="BJ12" s="38"/>
      <c r="BK12" s="37"/>
      <c r="BL12" s="38"/>
      <c r="BM12" s="40">
        <f t="shared" si="1"/>
        <v>0</v>
      </c>
      <c r="BN12" s="40">
        <f t="shared" si="2"/>
        <v>0</v>
      </c>
      <c r="BO12" s="40" t="e">
        <f>M12+O12+#REF!+#REF!+#REF!+T12+V12+#REF!+#REF!+#REF!+AA12+AC12+#REF!+#REF!+#REF!+AH12+AJ12+#REF!+#REF!+#REF!+AO12+AQ12+#REF!+#REF!+#REF!+AV12+AX12+#REF!+#REF!+#REF!+BC12+BE12+#REF!+#REF!+#REF!+BJ12+BL12+#REF!+#REF!+#REF!</f>
        <v>#REF!</v>
      </c>
      <c r="BP12" s="15" t="e">
        <f t="shared" si="27"/>
        <v>#REF!</v>
      </c>
    </row>
    <row r="13" spans="1:68" x14ac:dyDescent="0.25">
      <c r="B13" s="47" t="s">
        <v>29</v>
      </c>
      <c r="C13" s="41" t="s">
        <v>21</v>
      </c>
      <c r="D13" s="52">
        <v>1</v>
      </c>
      <c r="E13" s="33">
        <v>150000</v>
      </c>
      <c r="F13" s="92">
        <v>150000</v>
      </c>
      <c r="G13" s="39"/>
      <c r="H13" s="162">
        <v>150000</v>
      </c>
      <c r="I13" s="39"/>
      <c r="J13" s="35"/>
      <c r="K13" s="36">
        <f t="shared" ref="K13:K15" si="52">J13*$F13</f>
        <v>0</v>
      </c>
      <c r="L13" s="37"/>
      <c r="M13" s="38">
        <f t="shared" ref="M13:M15" si="53">L13*K13</f>
        <v>0</v>
      </c>
      <c r="N13" s="37"/>
      <c r="O13" s="38">
        <f t="shared" ref="O13:O15" si="54">N13*K13</f>
        <v>0</v>
      </c>
      <c r="P13" s="39"/>
      <c r="Q13" s="35"/>
      <c r="R13" s="36">
        <f t="shared" ref="R13:R15" si="55">Q13*$F13</f>
        <v>0</v>
      </c>
      <c r="S13" s="37"/>
      <c r="T13" s="38">
        <f t="shared" ref="T13:T15" si="56">S13*R13</f>
        <v>0</v>
      </c>
      <c r="U13" s="37"/>
      <c r="V13" s="38">
        <f t="shared" ref="V13:V15" si="57">U13*R13</f>
        <v>0</v>
      </c>
      <c r="W13" s="39"/>
      <c r="X13" s="35"/>
      <c r="Y13" s="36">
        <f t="shared" ref="Y13:Y15" si="58">X13*$F13</f>
        <v>0</v>
      </c>
      <c r="Z13" s="37"/>
      <c r="AA13" s="38">
        <f t="shared" ref="AA13:AA15" si="59">Z13*Y13</f>
        <v>0</v>
      </c>
      <c r="AB13" s="37"/>
      <c r="AC13" s="38">
        <f t="shared" ref="AC13:AC15" si="60">AB13*Y13</f>
        <v>0</v>
      </c>
      <c r="AD13" s="39"/>
      <c r="AE13" s="35">
        <v>0.05</v>
      </c>
      <c r="AF13" s="36">
        <f t="shared" ref="AF13:AF15" si="61">AE13*$F13</f>
        <v>7500</v>
      </c>
      <c r="AG13" s="37">
        <v>0.5</v>
      </c>
      <c r="AH13" s="38">
        <f t="shared" ref="AH13:AH15" si="62">AG13*AF13</f>
        <v>3750</v>
      </c>
      <c r="AI13" s="37">
        <v>0.5</v>
      </c>
      <c r="AJ13" s="38">
        <f t="shared" ref="AJ13:AJ15" si="63">AI13*AF13</f>
        <v>3750</v>
      </c>
      <c r="AK13" s="39"/>
      <c r="AL13" s="35">
        <v>0.95</v>
      </c>
      <c r="AM13" s="36">
        <f t="shared" ref="AM13:AM15" si="64">AL13*$F13</f>
        <v>142500</v>
      </c>
      <c r="AN13" s="37">
        <v>0.5</v>
      </c>
      <c r="AO13" s="38">
        <f t="shared" ref="AO13:AO15" si="65">AN13*AM13</f>
        <v>71250</v>
      </c>
      <c r="AP13" s="37">
        <v>0.5</v>
      </c>
      <c r="AQ13" s="38">
        <f t="shared" ref="AQ13:AQ15" si="66">AP13*AM13</f>
        <v>71250</v>
      </c>
      <c r="AR13" s="39"/>
      <c r="AS13" s="35"/>
      <c r="AT13" s="36">
        <f t="shared" ref="AT13:AT15" si="67">AS13*$F13</f>
        <v>0</v>
      </c>
      <c r="AU13" s="37"/>
      <c r="AV13" s="38">
        <f t="shared" ref="AV13:AV15" si="68">AU13*AT13</f>
        <v>0</v>
      </c>
      <c r="AW13" s="37"/>
      <c r="AX13" s="38">
        <f t="shared" ref="AX13:AX15" si="69">AW13*AT13</f>
        <v>0</v>
      </c>
      <c r="AY13" s="39"/>
      <c r="AZ13" s="35"/>
      <c r="BA13" s="36">
        <f t="shared" ref="BA13:BA15" si="70">AZ13*$F13</f>
        <v>0</v>
      </c>
      <c r="BB13" s="37"/>
      <c r="BC13" s="38">
        <f t="shared" ref="BC13:BC15" si="71">BB13*BA13</f>
        <v>0</v>
      </c>
      <c r="BD13" s="37"/>
      <c r="BE13" s="38">
        <f t="shared" ref="BE13:BE15" si="72">BD13*BA13</f>
        <v>0</v>
      </c>
      <c r="BF13" s="39"/>
      <c r="BG13" s="35"/>
      <c r="BH13" s="36">
        <f t="shared" ref="BH13:BH15" si="73">BG13*$F13</f>
        <v>0</v>
      </c>
      <c r="BI13" s="37"/>
      <c r="BJ13" s="38">
        <f t="shared" ref="BJ13:BJ15" si="74">BI13*BH13</f>
        <v>0</v>
      </c>
      <c r="BK13" s="37"/>
      <c r="BL13" s="38">
        <f t="shared" ref="BL13:BL15" si="75">BK13*BH13</f>
        <v>0</v>
      </c>
      <c r="BM13" s="40">
        <f t="shared" si="1"/>
        <v>150000</v>
      </c>
      <c r="BN13" s="40">
        <f t="shared" si="2"/>
        <v>150000</v>
      </c>
      <c r="BO13" s="40" t="e">
        <f>M13+O13+#REF!+#REF!+#REF!+T13+V13+#REF!+#REF!+#REF!+AA13+AC13+#REF!+#REF!+#REF!+AH13+AJ13+#REF!+#REF!+#REF!+AO13+AQ13+#REF!+#REF!+#REF!+AV13+AX13+#REF!+#REF!+#REF!+BC13+BE13+#REF!+#REF!+#REF!+BJ13+BL13+#REF!+#REF!+#REF!</f>
        <v>#REF!</v>
      </c>
      <c r="BP13" s="15" t="e">
        <f t="shared" si="27"/>
        <v>#REF!</v>
      </c>
    </row>
    <row r="14" spans="1:68" x14ac:dyDescent="0.25">
      <c r="B14" s="45" t="s">
        <v>30</v>
      </c>
      <c r="C14" s="41" t="s">
        <v>21</v>
      </c>
      <c r="D14" s="52">
        <v>1</v>
      </c>
      <c r="E14" s="33">
        <v>100000</v>
      </c>
      <c r="F14" s="92">
        <v>100000</v>
      </c>
      <c r="G14" s="39"/>
      <c r="H14" s="162">
        <v>100000</v>
      </c>
      <c r="I14" s="39"/>
      <c r="J14" s="35"/>
      <c r="K14" s="36">
        <f t="shared" si="52"/>
        <v>0</v>
      </c>
      <c r="L14" s="37"/>
      <c r="M14" s="38">
        <f t="shared" si="53"/>
        <v>0</v>
      </c>
      <c r="N14" s="37"/>
      <c r="O14" s="38">
        <f t="shared" si="54"/>
        <v>0</v>
      </c>
      <c r="P14" s="39"/>
      <c r="Q14" s="35"/>
      <c r="R14" s="36">
        <f t="shared" si="55"/>
        <v>0</v>
      </c>
      <c r="S14" s="37"/>
      <c r="T14" s="38">
        <f t="shared" si="56"/>
        <v>0</v>
      </c>
      <c r="U14" s="37"/>
      <c r="V14" s="38">
        <f t="shared" si="57"/>
        <v>0</v>
      </c>
      <c r="W14" s="39"/>
      <c r="X14" s="35"/>
      <c r="Y14" s="36">
        <f t="shared" si="58"/>
        <v>0</v>
      </c>
      <c r="Z14" s="37"/>
      <c r="AA14" s="38">
        <f t="shared" si="59"/>
        <v>0</v>
      </c>
      <c r="AB14" s="37"/>
      <c r="AC14" s="38">
        <f t="shared" si="60"/>
        <v>0</v>
      </c>
      <c r="AD14" s="39"/>
      <c r="AE14" s="35"/>
      <c r="AF14" s="36">
        <f t="shared" si="61"/>
        <v>0</v>
      </c>
      <c r="AG14" s="37"/>
      <c r="AH14" s="38">
        <f t="shared" si="62"/>
        <v>0</v>
      </c>
      <c r="AI14" s="37"/>
      <c r="AJ14" s="38">
        <f t="shared" si="63"/>
        <v>0</v>
      </c>
      <c r="AK14" s="39"/>
      <c r="AL14" s="35"/>
      <c r="AM14" s="36">
        <f t="shared" si="64"/>
        <v>0</v>
      </c>
      <c r="AN14" s="37"/>
      <c r="AO14" s="38">
        <f t="shared" si="65"/>
        <v>0</v>
      </c>
      <c r="AP14" s="37"/>
      <c r="AQ14" s="38">
        <f t="shared" si="66"/>
        <v>0</v>
      </c>
      <c r="AR14" s="39"/>
      <c r="AS14" s="35">
        <v>1</v>
      </c>
      <c r="AT14" s="36">
        <f t="shared" si="67"/>
        <v>100000</v>
      </c>
      <c r="AU14" s="37">
        <v>0.5</v>
      </c>
      <c r="AV14" s="38">
        <f t="shared" si="68"/>
        <v>50000</v>
      </c>
      <c r="AW14" s="37">
        <v>0.5</v>
      </c>
      <c r="AX14" s="38">
        <f t="shared" si="69"/>
        <v>50000</v>
      </c>
      <c r="AY14" s="39"/>
      <c r="AZ14" s="35"/>
      <c r="BA14" s="36">
        <f t="shared" si="70"/>
        <v>0</v>
      </c>
      <c r="BB14" s="37"/>
      <c r="BC14" s="38">
        <f t="shared" si="71"/>
        <v>0</v>
      </c>
      <c r="BD14" s="37"/>
      <c r="BE14" s="38">
        <f t="shared" si="72"/>
        <v>0</v>
      </c>
      <c r="BF14" s="39"/>
      <c r="BG14" s="35"/>
      <c r="BH14" s="36">
        <f t="shared" si="73"/>
        <v>0</v>
      </c>
      <c r="BI14" s="37"/>
      <c r="BJ14" s="38">
        <f t="shared" si="74"/>
        <v>0</v>
      </c>
      <c r="BK14" s="37"/>
      <c r="BL14" s="38">
        <f t="shared" si="75"/>
        <v>0</v>
      </c>
      <c r="BM14" s="40">
        <f t="shared" si="1"/>
        <v>100000</v>
      </c>
      <c r="BN14" s="40">
        <f t="shared" si="2"/>
        <v>100000</v>
      </c>
      <c r="BO14" s="40" t="e">
        <f>M14+O14+#REF!+#REF!+#REF!+T14+V14+#REF!+#REF!+#REF!+AA14+AC14+#REF!+#REF!+#REF!+AH14+AJ14+#REF!+#REF!+#REF!+AO14+AQ14+#REF!+#REF!+#REF!+AV14+AX14+#REF!+#REF!+#REF!+BC14+BE14+#REF!+#REF!+#REF!+BJ14+BL14+#REF!+#REF!+#REF!</f>
        <v>#REF!</v>
      </c>
      <c r="BP14" s="15" t="e">
        <f t="shared" si="27"/>
        <v>#REF!</v>
      </c>
    </row>
    <row r="15" spans="1:68" x14ac:dyDescent="0.25">
      <c r="A15" s="2"/>
      <c r="B15" s="2" t="s">
        <v>31</v>
      </c>
      <c r="C15" s="41" t="s">
        <v>27</v>
      </c>
      <c r="D15" s="52">
        <v>550000</v>
      </c>
      <c r="E15" s="191">
        <f>H15*$K$69</f>
        <v>0.25509999999999999</v>
      </c>
      <c r="F15" s="92">
        <v>137500</v>
      </c>
      <c r="G15" s="39"/>
      <c r="H15" s="162">
        <v>0.25</v>
      </c>
      <c r="I15" s="39"/>
      <c r="J15" s="35"/>
      <c r="K15" s="36">
        <f t="shared" si="52"/>
        <v>0</v>
      </c>
      <c r="L15" s="37"/>
      <c r="M15" s="38">
        <f t="shared" si="53"/>
        <v>0</v>
      </c>
      <c r="N15" s="37"/>
      <c r="O15" s="38">
        <f t="shared" si="54"/>
        <v>0</v>
      </c>
      <c r="P15" s="39"/>
      <c r="Q15" s="35">
        <v>1</v>
      </c>
      <c r="R15" s="36">
        <f t="shared" si="55"/>
        <v>137500</v>
      </c>
      <c r="S15" s="37">
        <v>0.5</v>
      </c>
      <c r="T15" s="38">
        <f t="shared" si="56"/>
        <v>68750</v>
      </c>
      <c r="U15" s="37">
        <v>0.5</v>
      </c>
      <c r="V15" s="38">
        <f t="shared" si="57"/>
        <v>68750</v>
      </c>
      <c r="W15" s="39"/>
      <c r="X15" s="35"/>
      <c r="Y15" s="36">
        <f t="shared" si="58"/>
        <v>0</v>
      </c>
      <c r="Z15" s="37"/>
      <c r="AA15" s="38">
        <f t="shared" si="59"/>
        <v>0</v>
      </c>
      <c r="AB15" s="37"/>
      <c r="AC15" s="38">
        <f t="shared" si="60"/>
        <v>0</v>
      </c>
      <c r="AD15" s="39"/>
      <c r="AE15" s="35"/>
      <c r="AF15" s="36">
        <f t="shared" si="61"/>
        <v>0</v>
      </c>
      <c r="AG15" s="37"/>
      <c r="AH15" s="38">
        <f t="shared" si="62"/>
        <v>0</v>
      </c>
      <c r="AI15" s="37"/>
      <c r="AJ15" s="38">
        <f t="shared" si="63"/>
        <v>0</v>
      </c>
      <c r="AK15" s="39"/>
      <c r="AL15" s="35"/>
      <c r="AM15" s="36">
        <f t="shared" si="64"/>
        <v>0</v>
      </c>
      <c r="AN15" s="37"/>
      <c r="AO15" s="38">
        <f t="shared" si="65"/>
        <v>0</v>
      </c>
      <c r="AP15" s="37"/>
      <c r="AQ15" s="38">
        <f t="shared" si="66"/>
        <v>0</v>
      </c>
      <c r="AR15" s="39"/>
      <c r="AS15" s="35"/>
      <c r="AT15" s="36">
        <f t="shared" si="67"/>
        <v>0</v>
      </c>
      <c r="AU15" s="37"/>
      <c r="AV15" s="38">
        <f t="shared" si="68"/>
        <v>0</v>
      </c>
      <c r="AW15" s="37"/>
      <c r="AX15" s="38">
        <f t="shared" si="69"/>
        <v>0</v>
      </c>
      <c r="AY15" s="39"/>
      <c r="AZ15" s="35"/>
      <c r="BA15" s="36">
        <f t="shared" si="70"/>
        <v>0</v>
      </c>
      <c r="BB15" s="37"/>
      <c r="BC15" s="38">
        <f t="shared" si="71"/>
        <v>0</v>
      </c>
      <c r="BD15" s="37"/>
      <c r="BE15" s="38">
        <f t="shared" si="72"/>
        <v>0</v>
      </c>
      <c r="BF15" s="39"/>
      <c r="BG15" s="35"/>
      <c r="BH15" s="36">
        <f t="shared" si="73"/>
        <v>0</v>
      </c>
      <c r="BI15" s="37"/>
      <c r="BJ15" s="38">
        <f t="shared" si="74"/>
        <v>0</v>
      </c>
      <c r="BK15" s="37"/>
      <c r="BL15" s="38">
        <f t="shared" si="75"/>
        <v>0</v>
      </c>
      <c r="BM15" s="40">
        <f t="shared" si="1"/>
        <v>137500</v>
      </c>
      <c r="BN15" s="40">
        <f t="shared" si="2"/>
        <v>137500</v>
      </c>
      <c r="BO15" s="40" t="e">
        <f>M15+O15+#REF!+#REF!+#REF!+T15+V15+#REF!+#REF!+#REF!+AA15+AC15+#REF!+#REF!+#REF!+AH15+AJ15+#REF!+#REF!+#REF!+AO15+AQ15+#REF!+#REF!+#REF!+AV15+AX15+#REF!+#REF!+#REF!+BC15+BE15+#REF!+#REF!+#REF!+BJ15+BL15+#REF!+#REF!+#REF!</f>
        <v>#REF!</v>
      </c>
      <c r="BP15" s="15" t="e">
        <f t="shared" si="27"/>
        <v>#REF!</v>
      </c>
    </row>
    <row r="16" spans="1:68" x14ac:dyDescent="0.25">
      <c r="B16" s="43"/>
      <c r="C16" s="41"/>
      <c r="D16" s="42"/>
      <c r="E16" s="49"/>
      <c r="F16" s="101">
        <f t="shared" si="0"/>
        <v>0</v>
      </c>
      <c r="G16" s="39"/>
      <c r="H16" s="162">
        <v>0</v>
      </c>
      <c r="I16" s="39"/>
      <c r="J16" s="35"/>
      <c r="K16" s="36">
        <f t="shared" si="28"/>
        <v>0</v>
      </c>
      <c r="L16" s="37"/>
      <c r="M16" s="38">
        <f t="shared" si="29"/>
        <v>0</v>
      </c>
      <c r="N16" s="37"/>
      <c r="O16" s="38">
        <f t="shared" si="30"/>
        <v>0</v>
      </c>
      <c r="P16" s="39"/>
      <c r="Q16" s="35"/>
      <c r="R16" s="36">
        <f t="shared" si="31"/>
        <v>0</v>
      </c>
      <c r="S16" s="37"/>
      <c r="T16" s="38">
        <f t="shared" si="32"/>
        <v>0</v>
      </c>
      <c r="U16" s="37"/>
      <c r="V16" s="38">
        <f t="shared" si="33"/>
        <v>0</v>
      </c>
      <c r="W16" s="39"/>
      <c r="X16" s="35"/>
      <c r="Y16" s="36">
        <f t="shared" si="34"/>
        <v>0</v>
      </c>
      <c r="Z16" s="37"/>
      <c r="AA16" s="38">
        <f t="shared" si="35"/>
        <v>0</v>
      </c>
      <c r="AB16" s="37"/>
      <c r="AC16" s="38">
        <f t="shared" si="36"/>
        <v>0</v>
      </c>
      <c r="AD16" s="39"/>
      <c r="AE16" s="35"/>
      <c r="AF16" s="36">
        <f t="shared" si="37"/>
        <v>0</v>
      </c>
      <c r="AG16" s="37"/>
      <c r="AH16" s="38">
        <f t="shared" si="38"/>
        <v>0</v>
      </c>
      <c r="AI16" s="37"/>
      <c r="AJ16" s="38">
        <f t="shared" si="39"/>
        <v>0</v>
      </c>
      <c r="AK16" s="39"/>
      <c r="AL16" s="35"/>
      <c r="AM16" s="36">
        <f t="shared" si="40"/>
        <v>0</v>
      </c>
      <c r="AN16" s="37"/>
      <c r="AO16" s="38">
        <f t="shared" si="41"/>
        <v>0</v>
      </c>
      <c r="AP16" s="37"/>
      <c r="AQ16" s="38">
        <f t="shared" si="42"/>
        <v>0</v>
      </c>
      <c r="AR16" s="39"/>
      <c r="AS16" s="35"/>
      <c r="AT16" s="36">
        <f t="shared" si="43"/>
        <v>0</v>
      </c>
      <c r="AU16" s="37"/>
      <c r="AV16" s="38">
        <f t="shared" si="44"/>
        <v>0</v>
      </c>
      <c r="AW16" s="37"/>
      <c r="AX16" s="38">
        <f t="shared" si="45"/>
        <v>0</v>
      </c>
      <c r="AY16" s="39"/>
      <c r="AZ16" s="35"/>
      <c r="BA16" s="36">
        <f t="shared" si="46"/>
        <v>0</v>
      </c>
      <c r="BB16" s="37"/>
      <c r="BC16" s="38">
        <f t="shared" si="47"/>
        <v>0</v>
      </c>
      <c r="BD16" s="37"/>
      <c r="BE16" s="38">
        <f t="shared" si="48"/>
        <v>0</v>
      </c>
      <c r="BF16" s="39"/>
      <c r="BG16" s="35"/>
      <c r="BH16" s="36">
        <f t="shared" si="49"/>
        <v>0</v>
      </c>
      <c r="BI16" s="37"/>
      <c r="BJ16" s="38">
        <f t="shared" si="50"/>
        <v>0</v>
      </c>
      <c r="BK16" s="37"/>
      <c r="BL16" s="38">
        <f t="shared" si="51"/>
        <v>0</v>
      </c>
      <c r="BM16" s="40">
        <f t="shared" si="1"/>
        <v>0</v>
      </c>
      <c r="BN16" s="40">
        <f t="shared" si="2"/>
        <v>0</v>
      </c>
      <c r="BO16" s="40" t="e">
        <f>M16+O16+#REF!+#REF!+#REF!+T16+V16+#REF!+#REF!+#REF!+AA16+AC16+#REF!+#REF!+#REF!+AH16+AJ16+#REF!+#REF!+#REF!+AO16+AQ16+#REF!+#REF!+#REF!+AV16+AX16+#REF!+#REF!+#REF!+BC16+BE16+#REF!+#REF!+#REF!+BJ16+BL16+#REF!+#REF!+#REF!</f>
        <v>#REF!</v>
      </c>
      <c r="BP16" s="15" t="e">
        <f t="shared" si="27"/>
        <v>#REF!</v>
      </c>
    </row>
    <row r="17" spans="1:68" x14ac:dyDescent="0.25">
      <c r="A17" s="1" t="s">
        <v>32</v>
      </c>
      <c r="C17" s="41"/>
      <c r="D17" s="42"/>
      <c r="E17" s="33"/>
      <c r="F17" s="101">
        <f t="shared" si="0"/>
        <v>0</v>
      </c>
      <c r="G17" s="39"/>
      <c r="H17" s="162">
        <v>0</v>
      </c>
      <c r="I17" s="39"/>
      <c r="J17" s="35"/>
      <c r="K17" s="36">
        <f t="shared" si="28"/>
        <v>0</v>
      </c>
      <c r="L17" s="37"/>
      <c r="M17" s="38">
        <f t="shared" si="29"/>
        <v>0</v>
      </c>
      <c r="N17" s="37"/>
      <c r="O17" s="38">
        <f t="shared" si="30"/>
        <v>0</v>
      </c>
      <c r="P17" s="39"/>
      <c r="Q17" s="35"/>
      <c r="R17" s="36">
        <f t="shared" si="31"/>
        <v>0</v>
      </c>
      <c r="S17" s="37"/>
      <c r="T17" s="38">
        <f t="shared" si="32"/>
        <v>0</v>
      </c>
      <c r="U17" s="37"/>
      <c r="V17" s="38">
        <f t="shared" si="33"/>
        <v>0</v>
      </c>
      <c r="W17" s="39"/>
      <c r="X17" s="35"/>
      <c r="Y17" s="36">
        <f t="shared" si="34"/>
        <v>0</v>
      </c>
      <c r="Z17" s="37"/>
      <c r="AA17" s="38">
        <f t="shared" si="35"/>
        <v>0</v>
      </c>
      <c r="AB17" s="37"/>
      <c r="AC17" s="38">
        <f t="shared" si="36"/>
        <v>0</v>
      </c>
      <c r="AD17" s="39"/>
      <c r="AE17" s="35"/>
      <c r="AF17" s="36">
        <f t="shared" si="37"/>
        <v>0</v>
      </c>
      <c r="AG17" s="37"/>
      <c r="AH17" s="38">
        <f t="shared" si="38"/>
        <v>0</v>
      </c>
      <c r="AI17" s="37"/>
      <c r="AJ17" s="38">
        <f t="shared" si="39"/>
        <v>0</v>
      </c>
      <c r="AK17" s="39"/>
      <c r="AL17" s="35"/>
      <c r="AM17" s="36">
        <f t="shared" si="40"/>
        <v>0</v>
      </c>
      <c r="AN17" s="37"/>
      <c r="AO17" s="38">
        <f t="shared" si="41"/>
        <v>0</v>
      </c>
      <c r="AP17" s="37"/>
      <c r="AQ17" s="38">
        <f t="shared" si="42"/>
        <v>0</v>
      </c>
      <c r="AR17" s="39"/>
      <c r="AS17" s="35"/>
      <c r="AT17" s="36">
        <f t="shared" si="43"/>
        <v>0</v>
      </c>
      <c r="AU17" s="37"/>
      <c r="AV17" s="38">
        <f t="shared" si="44"/>
        <v>0</v>
      </c>
      <c r="AW17" s="37"/>
      <c r="AX17" s="38">
        <f t="shared" si="45"/>
        <v>0</v>
      </c>
      <c r="AY17" s="39"/>
      <c r="AZ17" s="35"/>
      <c r="BA17" s="36">
        <f t="shared" si="46"/>
        <v>0</v>
      </c>
      <c r="BB17" s="37"/>
      <c r="BC17" s="38">
        <f t="shared" si="47"/>
        <v>0</v>
      </c>
      <c r="BD17" s="37"/>
      <c r="BE17" s="38">
        <f t="shared" si="48"/>
        <v>0</v>
      </c>
      <c r="BF17" s="39"/>
      <c r="BG17" s="35"/>
      <c r="BH17" s="36">
        <f t="shared" si="49"/>
        <v>0</v>
      </c>
      <c r="BI17" s="37"/>
      <c r="BJ17" s="38">
        <f t="shared" si="50"/>
        <v>0</v>
      </c>
      <c r="BK17" s="37"/>
      <c r="BL17" s="38">
        <f t="shared" si="51"/>
        <v>0</v>
      </c>
      <c r="BM17" s="40">
        <f t="shared" si="1"/>
        <v>0</v>
      </c>
      <c r="BN17" s="40">
        <f t="shared" si="2"/>
        <v>0</v>
      </c>
      <c r="BO17" s="40" t="e">
        <f>M17+O17+#REF!+#REF!+#REF!+T17+V17+#REF!+#REF!+#REF!+AA17+AC17+#REF!+#REF!+#REF!+AH17+AJ17+#REF!+#REF!+#REF!+AO17+AQ17+#REF!+#REF!+#REF!+AV17+AX17+#REF!+#REF!+#REF!+BC17+BE17+#REF!+#REF!+#REF!+BJ17+BL17+#REF!+#REF!+#REF!</f>
        <v>#REF!</v>
      </c>
      <c r="BP17" s="15" t="e">
        <f t="shared" si="27"/>
        <v>#REF!</v>
      </c>
    </row>
    <row r="18" spans="1:68" x14ac:dyDescent="0.25">
      <c r="B18" s="45" t="s">
        <v>33</v>
      </c>
      <c r="C18" s="41" t="s">
        <v>34</v>
      </c>
      <c r="D18" s="52">
        <f>4254.844-D28</f>
        <v>4134.8440000000001</v>
      </c>
      <c r="E18" s="191">
        <f>H18*$K$69</f>
        <v>244.89599999999999</v>
      </c>
      <c r="F18" s="92">
        <f>D18*E18</f>
        <v>1012606.756224</v>
      </c>
      <c r="G18" s="39"/>
      <c r="H18" s="162">
        <v>240</v>
      </c>
      <c r="I18" s="39"/>
      <c r="J18" s="35"/>
      <c r="K18" s="36">
        <f t="shared" si="28"/>
        <v>0</v>
      </c>
      <c r="L18" s="37"/>
      <c r="M18" s="38">
        <f t="shared" si="29"/>
        <v>0</v>
      </c>
      <c r="N18" s="37"/>
      <c r="O18" s="38">
        <f t="shared" si="30"/>
        <v>0</v>
      </c>
      <c r="P18" s="39"/>
      <c r="Q18" s="35"/>
      <c r="R18" s="36">
        <f t="shared" si="31"/>
        <v>0</v>
      </c>
      <c r="S18" s="37"/>
      <c r="T18" s="38">
        <f t="shared" si="32"/>
        <v>0</v>
      </c>
      <c r="U18" s="37"/>
      <c r="V18" s="38">
        <f t="shared" si="33"/>
        <v>0</v>
      </c>
      <c r="W18" s="39"/>
      <c r="X18" s="35">
        <v>0.6</v>
      </c>
      <c r="Y18" s="36">
        <f t="shared" si="34"/>
        <v>607564.05373439996</v>
      </c>
      <c r="Z18" s="37">
        <v>0.5</v>
      </c>
      <c r="AA18" s="38">
        <f t="shared" si="35"/>
        <v>303782.02686719998</v>
      </c>
      <c r="AB18" s="37">
        <v>0.5</v>
      </c>
      <c r="AC18" s="38">
        <f t="shared" si="36"/>
        <v>303782.02686719998</v>
      </c>
      <c r="AD18" s="39"/>
      <c r="AE18" s="35">
        <v>0.2</v>
      </c>
      <c r="AF18" s="36">
        <f t="shared" si="37"/>
        <v>202521.35124480003</v>
      </c>
      <c r="AG18" s="37">
        <v>0.5</v>
      </c>
      <c r="AH18" s="38">
        <f t="shared" si="38"/>
        <v>101260.67562240001</v>
      </c>
      <c r="AI18" s="37">
        <v>0.5</v>
      </c>
      <c r="AJ18" s="38">
        <f t="shared" si="39"/>
        <v>101260.67562240001</v>
      </c>
      <c r="AK18" s="39"/>
      <c r="AL18" s="35">
        <v>0.15</v>
      </c>
      <c r="AM18" s="36">
        <f t="shared" si="40"/>
        <v>151891.01343359999</v>
      </c>
      <c r="AN18" s="37">
        <v>0.5</v>
      </c>
      <c r="AO18" s="38">
        <f t="shared" si="41"/>
        <v>75945.506716799995</v>
      </c>
      <c r="AP18" s="37">
        <v>0.5</v>
      </c>
      <c r="AQ18" s="38">
        <f t="shared" si="42"/>
        <v>75945.506716799995</v>
      </c>
      <c r="AR18" s="39"/>
      <c r="AS18" s="35">
        <v>0.05</v>
      </c>
      <c r="AT18" s="36">
        <f t="shared" si="43"/>
        <v>50630.337811200006</v>
      </c>
      <c r="AU18" s="37">
        <v>0.5</v>
      </c>
      <c r="AV18" s="38">
        <f t="shared" si="44"/>
        <v>25315.168905600003</v>
      </c>
      <c r="AW18" s="37">
        <v>0.5</v>
      </c>
      <c r="AX18" s="38">
        <f t="shared" si="45"/>
        <v>25315.168905600003</v>
      </c>
      <c r="AY18" s="39"/>
      <c r="AZ18" s="35"/>
      <c r="BA18" s="36">
        <f t="shared" si="46"/>
        <v>0</v>
      </c>
      <c r="BB18" s="37"/>
      <c r="BC18" s="38">
        <f t="shared" si="47"/>
        <v>0</v>
      </c>
      <c r="BD18" s="37"/>
      <c r="BE18" s="38">
        <f t="shared" si="48"/>
        <v>0</v>
      </c>
      <c r="BF18" s="39"/>
      <c r="BG18" s="35"/>
      <c r="BH18" s="36">
        <f t="shared" si="49"/>
        <v>0</v>
      </c>
      <c r="BI18" s="37"/>
      <c r="BJ18" s="38">
        <f t="shared" si="50"/>
        <v>0</v>
      </c>
      <c r="BK18" s="37"/>
      <c r="BL18" s="38">
        <f t="shared" si="51"/>
        <v>0</v>
      </c>
      <c r="BM18" s="40">
        <f t="shared" si="1"/>
        <v>1012606.756224</v>
      </c>
      <c r="BN18" s="40">
        <f t="shared" si="2"/>
        <v>1012606.7562239999</v>
      </c>
      <c r="BO18" s="40" t="e">
        <f>M18+O18+#REF!+#REF!+#REF!+T18+V18+#REF!+#REF!+#REF!+AA18+AC18+#REF!+#REF!+#REF!+AH18+AJ18+#REF!+#REF!+#REF!+AO18+AQ18+#REF!+#REF!+#REF!+AV18+AX18+#REF!+#REF!+#REF!+BC18+BE18+#REF!+#REF!+#REF!+BJ18+BL18+#REF!+#REF!+#REF!</f>
        <v>#REF!</v>
      </c>
      <c r="BP18" s="15" t="e">
        <f t="shared" si="27"/>
        <v>#REF!</v>
      </c>
    </row>
    <row r="19" spans="1:68" x14ac:dyDescent="0.25">
      <c r="B19" s="45" t="s">
        <v>35</v>
      </c>
      <c r="C19" s="41" t="s">
        <v>34</v>
      </c>
      <c r="D19" s="52">
        <f>4254.844-D30</f>
        <v>4134.8440000000001</v>
      </c>
      <c r="E19" s="33">
        <f>$K$58</f>
        <v>-108.3695731319762</v>
      </c>
      <c r="F19" s="92">
        <f>D19*E19</f>
        <v>-448091.27924731298</v>
      </c>
      <c r="G19" s="39"/>
      <c r="H19" s="162">
        <v>-123.79</v>
      </c>
      <c r="I19" s="39"/>
      <c r="J19" s="35"/>
      <c r="K19" s="36">
        <f t="shared" si="28"/>
        <v>0</v>
      </c>
      <c r="L19" s="37"/>
      <c r="M19" s="38">
        <f t="shared" si="29"/>
        <v>0</v>
      </c>
      <c r="N19" s="37"/>
      <c r="O19" s="38">
        <f t="shared" si="30"/>
        <v>0</v>
      </c>
      <c r="P19" s="39"/>
      <c r="Q19" s="35"/>
      <c r="R19" s="36">
        <f t="shared" si="31"/>
        <v>0</v>
      </c>
      <c r="S19" s="37"/>
      <c r="T19" s="38">
        <f t="shared" si="32"/>
        <v>0</v>
      </c>
      <c r="U19" s="37"/>
      <c r="V19" s="38">
        <f t="shared" si="33"/>
        <v>0</v>
      </c>
      <c r="W19" s="39"/>
      <c r="X19" s="35">
        <v>0.6</v>
      </c>
      <c r="Y19" s="36">
        <f t="shared" si="34"/>
        <v>-268854.76754838775</v>
      </c>
      <c r="Z19" s="37">
        <v>0.5</v>
      </c>
      <c r="AA19" s="38">
        <f t="shared" si="35"/>
        <v>-134427.38377419388</v>
      </c>
      <c r="AB19" s="37">
        <v>0.5</v>
      </c>
      <c r="AC19" s="38">
        <f t="shared" si="36"/>
        <v>-134427.38377419388</v>
      </c>
      <c r="AD19" s="39"/>
      <c r="AE19" s="35">
        <v>0.25</v>
      </c>
      <c r="AF19" s="36">
        <f t="shared" si="37"/>
        <v>-112022.81981182825</v>
      </c>
      <c r="AG19" s="37">
        <v>0.5</v>
      </c>
      <c r="AH19" s="38">
        <f t="shared" si="38"/>
        <v>-56011.409905914123</v>
      </c>
      <c r="AI19" s="37">
        <v>0.5</v>
      </c>
      <c r="AJ19" s="38">
        <f t="shared" si="39"/>
        <v>-56011.409905914123</v>
      </c>
      <c r="AK19" s="39"/>
      <c r="AL19" s="35">
        <v>0.15</v>
      </c>
      <c r="AM19" s="36">
        <f t="shared" si="40"/>
        <v>-67213.691887096938</v>
      </c>
      <c r="AN19" s="37">
        <v>0.5</v>
      </c>
      <c r="AO19" s="38">
        <f t="shared" si="41"/>
        <v>-33606.845943548469</v>
      </c>
      <c r="AP19" s="37">
        <v>0.5</v>
      </c>
      <c r="AQ19" s="38">
        <f t="shared" si="42"/>
        <v>-33606.845943548469</v>
      </c>
      <c r="AR19" s="39"/>
      <c r="AS19" s="35"/>
      <c r="AT19" s="36">
        <f t="shared" si="43"/>
        <v>0</v>
      </c>
      <c r="AU19" s="51"/>
      <c r="AV19" s="38">
        <f t="shared" si="44"/>
        <v>0</v>
      </c>
      <c r="AW19" s="37"/>
      <c r="AX19" s="38">
        <f t="shared" si="45"/>
        <v>0</v>
      </c>
      <c r="AY19" s="39"/>
      <c r="AZ19" s="35"/>
      <c r="BA19" s="36">
        <f t="shared" si="46"/>
        <v>0</v>
      </c>
      <c r="BB19" s="37"/>
      <c r="BC19" s="38">
        <f t="shared" si="47"/>
        <v>0</v>
      </c>
      <c r="BD19" s="37"/>
      <c r="BE19" s="38">
        <f t="shared" si="48"/>
        <v>0</v>
      </c>
      <c r="BF19" s="39"/>
      <c r="BG19" s="35"/>
      <c r="BH19" s="36">
        <f t="shared" si="49"/>
        <v>0</v>
      </c>
      <c r="BI19" s="37"/>
      <c r="BJ19" s="38">
        <f t="shared" si="50"/>
        <v>0</v>
      </c>
      <c r="BK19" s="37"/>
      <c r="BL19" s="38">
        <f t="shared" si="51"/>
        <v>0</v>
      </c>
      <c r="BM19" s="40">
        <f t="shared" si="1"/>
        <v>-448091.27924731298</v>
      </c>
      <c r="BN19" s="40">
        <f t="shared" si="2"/>
        <v>-448091.27924731292</v>
      </c>
      <c r="BO19" s="40" t="e">
        <f>M19+O19+#REF!+#REF!+#REF!+T19+V19+#REF!+#REF!+#REF!+AA19+AC19+#REF!+#REF!+#REF!+AH19+AJ19+#REF!+#REF!+#REF!+AO19+AQ19+#REF!+#REF!+#REF!+AV19+AX19+#REF!+#REF!+#REF!+BC19+BE19+#REF!+#REF!+#REF!+BJ19+BL19+#REF!+#REF!+#REF!</f>
        <v>#REF!</v>
      </c>
      <c r="BP19" s="15" t="e">
        <f t="shared" si="27"/>
        <v>#REF!</v>
      </c>
    </row>
    <row r="20" spans="1:68" x14ac:dyDescent="0.25">
      <c r="B20" s="45" t="s">
        <v>36</v>
      </c>
      <c r="C20" s="41" t="s">
        <v>37</v>
      </c>
      <c r="D20" s="52">
        <v>38293.595999999998</v>
      </c>
      <c r="E20" s="46">
        <f>$K$59</f>
        <v>-0.38793301271641789</v>
      </c>
      <c r="F20" s="92">
        <v>-14949.618333157889</v>
      </c>
      <c r="G20" s="39"/>
      <c r="H20" s="162">
        <v>-0.38</v>
      </c>
      <c r="I20" s="39"/>
      <c r="J20" s="35"/>
      <c r="K20" s="36">
        <f t="shared" si="28"/>
        <v>0</v>
      </c>
      <c r="L20" s="37"/>
      <c r="M20" s="38">
        <f t="shared" si="29"/>
        <v>0</v>
      </c>
      <c r="N20" s="37"/>
      <c r="O20" s="38">
        <f t="shared" si="30"/>
        <v>0</v>
      </c>
      <c r="P20" s="39"/>
      <c r="Q20" s="35"/>
      <c r="R20" s="36">
        <f t="shared" si="31"/>
        <v>0</v>
      </c>
      <c r="S20" s="37"/>
      <c r="T20" s="38">
        <f t="shared" si="32"/>
        <v>0</v>
      </c>
      <c r="U20" s="37"/>
      <c r="V20" s="38">
        <f t="shared" si="33"/>
        <v>0</v>
      </c>
      <c r="W20" s="39"/>
      <c r="X20" s="35"/>
      <c r="Y20" s="36">
        <f t="shared" si="34"/>
        <v>0</v>
      </c>
      <c r="Z20" s="37"/>
      <c r="AA20" s="38">
        <f t="shared" si="35"/>
        <v>0</v>
      </c>
      <c r="AB20" s="37"/>
      <c r="AC20" s="38">
        <f t="shared" si="36"/>
        <v>0</v>
      </c>
      <c r="AD20" s="39"/>
      <c r="AE20" s="35">
        <v>1</v>
      </c>
      <c r="AF20" s="36">
        <f t="shared" si="37"/>
        <v>-14949.618333157889</v>
      </c>
      <c r="AG20" s="37">
        <v>0.5</v>
      </c>
      <c r="AH20" s="38">
        <f t="shared" si="38"/>
        <v>-7474.8091665789443</v>
      </c>
      <c r="AI20" s="37">
        <v>0.5</v>
      </c>
      <c r="AJ20" s="38">
        <f t="shared" si="39"/>
        <v>-7474.8091665789443</v>
      </c>
      <c r="AK20" s="39"/>
      <c r="AL20" s="35"/>
      <c r="AM20" s="36">
        <f t="shared" si="40"/>
        <v>0</v>
      </c>
      <c r="AN20" s="37"/>
      <c r="AO20" s="38">
        <f t="shared" si="41"/>
        <v>0</v>
      </c>
      <c r="AP20" s="37"/>
      <c r="AQ20" s="38">
        <f t="shared" si="42"/>
        <v>0</v>
      </c>
      <c r="AR20" s="39"/>
      <c r="AS20" s="35"/>
      <c r="AT20" s="36">
        <f t="shared" si="43"/>
        <v>0</v>
      </c>
      <c r="AU20" s="37"/>
      <c r="AV20" s="38">
        <f t="shared" si="44"/>
        <v>0</v>
      </c>
      <c r="AW20" s="37"/>
      <c r="AX20" s="38">
        <f t="shared" si="45"/>
        <v>0</v>
      </c>
      <c r="AY20" s="39"/>
      <c r="AZ20" s="35"/>
      <c r="BA20" s="36">
        <f t="shared" si="46"/>
        <v>0</v>
      </c>
      <c r="BB20" s="37"/>
      <c r="BC20" s="38">
        <f t="shared" si="47"/>
        <v>0</v>
      </c>
      <c r="BD20" s="37"/>
      <c r="BE20" s="38">
        <f t="shared" si="48"/>
        <v>0</v>
      </c>
      <c r="BF20" s="39"/>
      <c r="BG20" s="35"/>
      <c r="BH20" s="36">
        <f t="shared" si="49"/>
        <v>0</v>
      </c>
      <c r="BI20" s="37"/>
      <c r="BJ20" s="38">
        <f t="shared" si="50"/>
        <v>0</v>
      </c>
      <c r="BK20" s="37"/>
      <c r="BL20" s="38">
        <f t="shared" si="51"/>
        <v>0</v>
      </c>
      <c r="BM20" s="40">
        <f t="shared" si="1"/>
        <v>-14949.618333157889</v>
      </c>
      <c r="BN20" s="40">
        <f t="shared" si="2"/>
        <v>-14949.618333157889</v>
      </c>
      <c r="BO20" s="40" t="e">
        <f>M20+O20+#REF!+#REF!+#REF!+T20+V20+#REF!+#REF!+#REF!+AA20+AC20+#REF!+#REF!+#REF!+AH20+AJ20+#REF!+#REF!+#REF!+AO20+AQ20+#REF!+#REF!+#REF!+AV20+AX20+#REF!+#REF!+#REF!+BC20+BE20+#REF!+#REF!+#REF!+BJ20+BL20+#REF!+#REF!+#REF!</f>
        <v>#REF!</v>
      </c>
      <c r="BP20" s="15" t="e">
        <f t="shared" si="27"/>
        <v>#REF!</v>
      </c>
    </row>
    <row r="21" spans="1:68" x14ac:dyDescent="0.25">
      <c r="B21" s="45" t="s">
        <v>38</v>
      </c>
      <c r="C21" s="41" t="s">
        <v>37</v>
      </c>
      <c r="D21" s="52">
        <v>361661.74</v>
      </c>
      <c r="E21" s="46">
        <f>$K$60</f>
        <v>-0.31414430979039298</v>
      </c>
      <c r="F21" s="92">
        <v>-133881.61212123078</v>
      </c>
      <c r="G21" s="39"/>
      <c r="H21" s="162">
        <v>-0.37</v>
      </c>
      <c r="I21" s="39"/>
      <c r="J21" s="35"/>
      <c r="K21" s="36">
        <f t="shared" si="28"/>
        <v>0</v>
      </c>
      <c r="L21" s="37"/>
      <c r="M21" s="38">
        <f t="shared" si="29"/>
        <v>0</v>
      </c>
      <c r="N21" s="37"/>
      <c r="O21" s="38">
        <f t="shared" si="30"/>
        <v>0</v>
      </c>
      <c r="P21" s="39"/>
      <c r="Q21" s="35"/>
      <c r="R21" s="36">
        <f t="shared" si="31"/>
        <v>0</v>
      </c>
      <c r="S21" s="37"/>
      <c r="T21" s="38">
        <f t="shared" si="32"/>
        <v>0</v>
      </c>
      <c r="U21" s="37"/>
      <c r="V21" s="38">
        <f t="shared" si="33"/>
        <v>0</v>
      </c>
      <c r="W21" s="39"/>
      <c r="X21" s="35"/>
      <c r="Y21" s="36">
        <f t="shared" si="34"/>
        <v>0</v>
      </c>
      <c r="Z21" s="37"/>
      <c r="AA21" s="38">
        <f t="shared" si="35"/>
        <v>0</v>
      </c>
      <c r="AB21" s="37"/>
      <c r="AC21" s="38">
        <f t="shared" si="36"/>
        <v>0</v>
      </c>
      <c r="AD21" s="39"/>
      <c r="AE21" s="35">
        <v>0.2</v>
      </c>
      <c r="AF21" s="36">
        <f t="shared" si="37"/>
        <v>-26776.322424246158</v>
      </c>
      <c r="AG21" s="37">
        <v>0.5</v>
      </c>
      <c r="AH21" s="38">
        <f t="shared" si="38"/>
        <v>-13388.161212123079</v>
      </c>
      <c r="AI21" s="37">
        <v>0.5</v>
      </c>
      <c r="AJ21" s="38">
        <f t="shared" si="39"/>
        <v>-13388.161212123079</v>
      </c>
      <c r="AK21" s="39"/>
      <c r="AL21" s="35"/>
      <c r="AM21" s="36">
        <f t="shared" si="40"/>
        <v>0</v>
      </c>
      <c r="AN21" s="37"/>
      <c r="AO21" s="38">
        <f t="shared" si="41"/>
        <v>0</v>
      </c>
      <c r="AP21" s="37"/>
      <c r="AQ21" s="38">
        <f t="shared" si="42"/>
        <v>0</v>
      </c>
      <c r="AR21" s="39"/>
      <c r="AS21" s="35">
        <v>0.8</v>
      </c>
      <c r="AT21" s="36">
        <f t="shared" si="43"/>
        <v>-107105.28969698463</v>
      </c>
      <c r="AU21" s="37">
        <v>0.5</v>
      </c>
      <c r="AV21" s="38">
        <f t="shared" si="44"/>
        <v>-53552.644848492317</v>
      </c>
      <c r="AW21" s="37">
        <v>0.5</v>
      </c>
      <c r="AX21" s="38">
        <f t="shared" si="45"/>
        <v>-53552.644848492317</v>
      </c>
      <c r="AY21" s="39"/>
      <c r="AZ21" s="35"/>
      <c r="BA21" s="36">
        <f t="shared" si="46"/>
        <v>0</v>
      </c>
      <c r="BB21" s="37"/>
      <c r="BC21" s="38">
        <f t="shared" si="47"/>
        <v>0</v>
      </c>
      <c r="BD21" s="37"/>
      <c r="BE21" s="38">
        <f t="shared" si="48"/>
        <v>0</v>
      </c>
      <c r="BF21" s="39"/>
      <c r="BG21" s="35"/>
      <c r="BH21" s="36">
        <f t="shared" si="49"/>
        <v>0</v>
      </c>
      <c r="BI21" s="37"/>
      <c r="BJ21" s="38">
        <f t="shared" si="50"/>
        <v>0</v>
      </c>
      <c r="BK21" s="37"/>
      <c r="BL21" s="38">
        <f t="shared" si="51"/>
        <v>0</v>
      </c>
      <c r="BM21" s="40">
        <f t="shared" si="1"/>
        <v>-133881.61212123078</v>
      </c>
      <c r="BN21" s="40">
        <f t="shared" si="2"/>
        <v>-133881.61212123081</v>
      </c>
      <c r="BO21" s="40" t="e">
        <f>M21+O21+#REF!+#REF!+#REF!+T21+V21+#REF!+#REF!+#REF!+AA21+AC21+#REF!+#REF!+#REF!+AH21+AJ21+#REF!+#REF!+#REF!+AO21+AQ21+#REF!+#REF!+#REF!+AV21+AX21+#REF!+#REF!+#REF!+BC21+BE21+#REF!+#REF!+#REF!+BJ21+BL21+#REF!+#REF!+#REF!</f>
        <v>#REF!</v>
      </c>
      <c r="BP21" s="15" t="e">
        <f t="shared" si="27"/>
        <v>#REF!</v>
      </c>
    </row>
    <row r="22" spans="1:68" x14ac:dyDescent="0.25">
      <c r="B22" s="45" t="s">
        <v>39</v>
      </c>
      <c r="C22" s="41" t="s">
        <v>37</v>
      </c>
      <c r="D22" s="52">
        <v>51058.127999999997</v>
      </c>
      <c r="E22" s="46">
        <f>$K$61</f>
        <v>-0.13699903999999999</v>
      </c>
      <c r="F22" s="92">
        <v>-9391.6324084934276</v>
      </c>
      <c r="G22" s="39"/>
      <c r="H22" s="162">
        <v>-0.16</v>
      </c>
      <c r="I22" s="39"/>
      <c r="J22" s="35"/>
      <c r="K22" s="36">
        <f t="shared" si="28"/>
        <v>0</v>
      </c>
      <c r="L22" s="37"/>
      <c r="M22" s="38">
        <f t="shared" si="29"/>
        <v>0</v>
      </c>
      <c r="N22" s="37"/>
      <c r="O22" s="38">
        <f t="shared" si="30"/>
        <v>0</v>
      </c>
      <c r="P22" s="39"/>
      <c r="Q22" s="35"/>
      <c r="R22" s="36">
        <f t="shared" si="31"/>
        <v>0</v>
      </c>
      <c r="S22" s="37"/>
      <c r="T22" s="38">
        <f t="shared" si="32"/>
        <v>0</v>
      </c>
      <c r="U22" s="37"/>
      <c r="V22" s="38">
        <f t="shared" si="33"/>
        <v>0</v>
      </c>
      <c r="W22" s="39"/>
      <c r="X22" s="35"/>
      <c r="Y22" s="36">
        <f t="shared" si="34"/>
        <v>0</v>
      </c>
      <c r="Z22" s="37"/>
      <c r="AA22" s="38">
        <f t="shared" si="35"/>
        <v>0</v>
      </c>
      <c r="AB22" s="37"/>
      <c r="AC22" s="38">
        <f t="shared" si="36"/>
        <v>0</v>
      </c>
      <c r="AD22" s="39"/>
      <c r="AE22" s="35">
        <v>1</v>
      </c>
      <c r="AF22" s="36">
        <f t="shared" si="37"/>
        <v>-9391.6324084934276</v>
      </c>
      <c r="AG22" s="37">
        <v>0.5</v>
      </c>
      <c r="AH22" s="38">
        <f t="shared" si="38"/>
        <v>-4695.8162042467138</v>
      </c>
      <c r="AI22" s="37">
        <v>0.5</v>
      </c>
      <c r="AJ22" s="38">
        <f t="shared" si="39"/>
        <v>-4695.8162042467138</v>
      </c>
      <c r="AK22" s="39"/>
      <c r="AL22" s="35"/>
      <c r="AM22" s="36">
        <f t="shared" si="40"/>
        <v>0</v>
      </c>
      <c r="AN22" s="37"/>
      <c r="AO22" s="38">
        <f t="shared" si="41"/>
        <v>0</v>
      </c>
      <c r="AP22" s="37"/>
      <c r="AQ22" s="38">
        <f t="shared" si="42"/>
        <v>0</v>
      </c>
      <c r="AR22" s="39"/>
      <c r="AS22" s="35"/>
      <c r="AT22" s="36">
        <f t="shared" si="43"/>
        <v>0</v>
      </c>
      <c r="AU22" s="37"/>
      <c r="AV22" s="38">
        <f t="shared" si="44"/>
        <v>0</v>
      </c>
      <c r="AW22" s="37"/>
      <c r="AX22" s="38">
        <f t="shared" si="45"/>
        <v>0</v>
      </c>
      <c r="AY22" s="39"/>
      <c r="AZ22" s="35"/>
      <c r="BA22" s="36">
        <f t="shared" si="46"/>
        <v>0</v>
      </c>
      <c r="BB22" s="37"/>
      <c r="BC22" s="38">
        <f t="shared" si="47"/>
        <v>0</v>
      </c>
      <c r="BD22" s="37"/>
      <c r="BE22" s="38">
        <f t="shared" si="48"/>
        <v>0</v>
      </c>
      <c r="BF22" s="39"/>
      <c r="BG22" s="35"/>
      <c r="BH22" s="36">
        <f t="shared" si="49"/>
        <v>0</v>
      </c>
      <c r="BI22" s="37"/>
      <c r="BJ22" s="38">
        <f t="shared" si="50"/>
        <v>0</v>
      </c>
      <c r="BK22" s="37"/>
      <c r="BL22" s="38">
        <f t="shared" si="51"/>
        <v>0</v>
      </c>
      <c r="BM22" s="40">
        <f t="shared" si="1"/>
        <v>-9391.6324084934276</v>
      </c>
      <c r="BN22" s="40">
        <f t="shared" si="2"/>
        <v>-9391.6324084934276</v>
      </c>
      <c r="BO22" s="40" t="e">
        <f>M22+O22+#REF!+#REF!+#REF!+T22+V22+#REF!+#REF!+#REF!+AA22+AC22+#REF!+#REF!+#REF!+AH22+AJ22+#REF!+#REF!+#REF!+AO22+AQ22+#REF!+#REF!+#REF!+AV22+AX22+#REF!+#REF!+#REF!+BC22+BE22+#REF!+#REF!+#REF!+BJ22+BL22+#REF!+#REF!+#REF!</f>
        <v>#REF!</v>
      </c>
      <c r="BP22" s="15" t="e">
        <f t="shared" si="27"/>
        <v>#REF!</v>
      </c>
    </row>
    <row r="23" spans="1:68" x14ac:dyDescent="0.25">
      <c r="B23" s="45" t="s">
        <v>40</v>
      </c>
      <c r="C23" s="41" t="s">
        <v>41</v>
      </c>
      <c r="D23" s="52">
        <v>370.37037037037038</v>
      </c>
      <c r="E23" s="191">
        <f>H23*$K$69</f>
        <v>107.142</v>
      </c>
      <c r="F23" s="92">
        <v>38888.888888888891</v>
      </c>
      <c r="G23" s="39"/>
      <c r="H23" s="162">
        <v>105</v>
      </c>
      <c r="I23" s="39"/>
      <c r="J23" s="35"/>
      <c r="K23" s="36">
        <f t="shared" si="28"/>
        <v>0</v>
      </c>
      <c r="L23" s="37"/>
      <c r="M23" s="38">
        <f t="shared" si="29"/>
        <v>0</v>
      </c>
      <c r="N23" s="37"/>
      <c r="O23" s="38">
        <f t="shared" si="30"/>
        <v>0</v>
      </c>
      <c r="P23" s="39"/>
      <c r="Q23" s="35"/>
      <c r="R23" s="36">
        <f t="shared" si="31"/>
        <v>0</v>
      </c>
      <c r="S23" s="37"/>
      <c r="T23" s="38">
        <f t="shared" si="32"/>
        <v>0</v>
      </c>
      <c r="U23" s="37"/>
      <c r="V23" s="38">
        <f t="shared" si="33"/>
        <v>0</v>
      </c>
      <c r="W23" s="39"/>
      <c r="X23" s="35">
        <v>1</v>
      </c>
      <c r="Y23" s="36">
        <f t="shared" si="34"/>
        <v>38888.888888888891</v>
      </c>
      <c r="Z23" s="37">
        <v>0.5</v>
      </c>
      <c r="AA23" s="38">
        <f t="shared" si="35"/>
        <v>19444.444444444445</v>
      </c>
      <c r="AB23" s="37">
        <v>0.5</v>
      </c>
      <c r="AC23" s="38">
        <f t="shared" si="36"/>
        <v>19444.444444444445</v>
      </c>
      <c r="AD23" s="39"/>
      <c r="AE23" s="35"/>
      <c r="AF23" s="36">
        <f t="shared" si="37"/>
        <v>0</v>
      </c>
      <c r="AG23" s="37"/>
      <c r="AH23" s="38">
        <f t="shared" si="38"/>
        <v>0</v>
      </c>
      <c r="AI23" s="37"/>
      <c r="AJ23" s="38">
        <f t="shared" si="39"/>
        <v>0</v>
      </c>
      <c r="AK23" s="39"/>
      <c r="AL23" s="35"/>
      <c r="AM23" s="36">
        <f t="shared" si="40"/>
        <v>0</v>
      </c>
      <c r="AN23" s="37"/>
      <c r="AO23" s="38">
        <f t="shared" si="41"/>
        <v>0</v>
      </c>
      <c r="AP23" s="37"/>
      <c r="AQ23" s="38">
        <f t="shared" si="42"/>
        <v>0</v>
      </c>
      <c r="AR23" s="39"/>
      <c r="AS23" s="35"/>
      <c r="AT23" s="36">
        <f t="shared" si="43"/>
        <v>0</v>
      </c>
      <c r="AU23" s="37"/>
      <c r="AV23" s="38">
        <f t="shared" si="44"/>
        <v>0</v>
      </c>
      <c r="AW23" s="37"/>
      <c r="AX23" s="38">
        <f t="shared" si="45"/>
        <v>0</v>
      </c>
      <c r="AY23" s="39"/>
      <c r="AZ23" s="35"/>
      <c r="BA23" s="36">
        <f t="shared" si="46"/>
        <v>0</v>
      </c>
      <c r="BB23" s="37"/>
      <c r="BC23" s="38">
        <f t="shared" si="47"/>
        <v>0</v>
      </c>
      <c r="BD23" s="37"/>
      <c r="BE23" s="38">
        <f t="shared" si="48"/>
        <v>0</v>
      </c>
      <c r="BF23" s="39"/>
      <c r="BG23" s="35"/>
      <c r="BH23" s="36">
        <f t="shared" si="49"/>
        <v>0</v>
      </c>
      <c r="BI23" s="37"/>
      <c r="BJ23" s="38">
        <f t="shared" si="50"/>
        <v>0</v>
      </c>
      <c r="BK23" s="37"/>
      <c r="BL23" s="38">
        <f t="shared" si="51"/>
        <v>0</v>
      </c>
      <c r="BM23" s="40">
        <f t="shared" si="1"/>
        <v>38888.888888888891</v>
      </c>
      <c r="BN23" s="40">
        <f t="shared" si="2"/>
        <v>38888.888888888891</v>
      </c>
      <c r="BO23" s="40" t="e">
        <f>M23+O23+#REF!+#REF!+#REF!+T23+V23+#REF!+#REF!+#REF!+AA23+AC23+#REF!+#REF!+#REF!+AH23+AJ23+#REF!+#REF!+#REF!+AO23+AQ23+#REF!+#REF!+#REF!+AV23+AX23+#REF!+#REF!+#REF!+BC23+BE23+#REF!+#REF!+#REF!+BJ23+BL23+#REF!+#REF!+#REF!</f>
        <v>#REF!</v>
      </c>
      <c r="BP23" s="15" t="e">
        <f t="shared" si="27"/>
        <v>#REF!</v>
      </c>
    </row>
    <row r="24" spans="1:68" x14ac:dyDescent="0.25">
      <c r="B24" s="126" t="s">
        <v>172</v>
      </c>
      <c r="C24" s="41" t="s">
        <v>37</v>
      </c>
      <c r="D24" s="52">
        <v>60000</v>
      </c>
      <c r="E24" s="46">
        <f>$K$66</f>
        <v>-1.5206066633165829</v>
      </c>
      <c r="F24" s="92">
        <v>-94950</v>
      </c>
      <c r="G24" s="39"/>
      <c r="H24" s="162">
        <v>-1.52</v>
      </c>
      <c r="I24" s="39"/>
      <c r="J24" s="35"/>
      <c r="K24" s="36">
        <f t="shared" si="28"/>
        <v>0</v>
      </c>
      <c r="L24" s="37"/>
      <c r="M24" s="38">
        <f t="shared" si="29"/>
        <v>0</v>
      </c>
      <c r="N24" s="37"/>
      <c r="O24" s="38">
        <f t="shared" si="30"/>
        <v>0</v>
      </c>
      <c r="P24" s="39"/>
      <c r="Q24" s="35"/>
      <c r="R24" s="36">
        <f t="shared" si="31"/>
        <v>0</v>
      </c>
      <c r="S24" s="37"/>
      <c r="T24" s="38">
        <f t="shared" si="32"/>
        <v>0</v>
      </c>
      <c r="U24" s="37"/>
      <c r="V24" s="38">
        <f t="shared" si="33"/>
        <v>0</v>
      </c>
      <c r="W24" s="39"/>
      <c r="X24" s="35"/>
      <c r="Y24" s="36">
        <f t="shared" si="34"/>
        <v>0</v>
      </c>
      <c r="Z24" s="37"/>
      <c r="AA24" s="38">
        <f t="shared" si="35"/>
        <v>0</v>
      </c>
      <c r="AB24" s="37"/>
      <c r="AC24" s="38">
        <f t="shared" si="36"/>
        <v>0</v>
      </c>
      <c r="AD24" s="39"/>
      <c r="AE24" s="35">
        <v>0.1</v>
      </c>
      <c r="AF24" s="36">
        <f t="shared" si="37"/>
        <v>-9495</v>
      </c>
      <c r="AG24" s="37">
        <v>0.5</v>
      </c>
      <c r="AH24" s="38">
        <f t="shared" si="38"/>
        <v>-4747.5</v>
      </c>
      <c r="AI24" s="37">
        <v>0.5</v>
      </c>
      <c r="AJ24" s="38">
        <f t="shared" si="39"/>
        <v>-4747.5</v>
      </c>
      <c r="AK24" s="39"/>
      <c r="AL24" s="35">
        <v>0.9</v>
      </c>
      <c r="AM24" s="36">
        <f t="shared" si="40"/>
        <v>-85455</v>
      </c>
      <c r="AN24" s="37">
        <v>0.5</v>
      </c>
      <c r="AO24" s="38">
        <f t="shared" si="41"/>
        <v>-42727.5</v>
      </c>
      <c r="AP24" s="37">
        <v>0.5</v>
      </c>
      <c r="AQ24" s="38">
        <f t="shared" si="42"/>
        <v>-42727.5</v>
      </c>
      <c r="AR24" s="39"/>
      <c r="AS24" s="35"/>
      <c r="AT24" s="36">
        <f t="shared" si="43"/>
        <v>0</v>
      </c>
      <c r="AU24" s="37"/>
      <c r="AV24" s="38">
        <f t="shared" si="44"/>
        <v>0</v>
      </c>
      <c r="AW24" s="37"/>
      <c r="AX24" s="38">
        <f t="shared" si="45"/>
        <v>0</v>
      </c>
      <c r="AY24" s="39"/>
      <c r="AZ24" s="35"/>
      <c r="BA24" s="36">
        <f t="shared" si="46"/>
        <v>0</v>
      </c>
      <c r="BB24" s="37"/>
      <c r="BC24" s="38">
        <f t="shared" si="47"/>
        <v>0</v>
      </c>
      <c r="BD24" s="37"/>
      <c r="BE24" s="38">
        <f t="shared" si="48"/>
        <v>0</v>
      </c>
      <c r="BF24" s="39"/>
      <c r="BG24" s="35"/>
      <c r="BH24" s="36">
        <f t="shared" si="49"/>
        <v>0</v>
      </c>
      <c r="BI24" s="37"/>
      <c r="BJ24" s="38">
        <f t="shared" si="50"/>
        <v>0</v>
      </c>
      <c r="BK24" s="37"/>
      <c r="BL24" s="38">
        <f t="shared" si="51"/>
        <v>0</v>
      </c>
      <c r="BM24" s="40">
        <f t="shared" si="1"/>
        <v>-94950</v>
      </c>
      <c r="BN24" s="40">
        <f t="shared" si="2"/>
        <v>-94950</v>
      </c>
      <c r="BO24" s="40" t="e">
        <f>M24+O24+#REF!+#REF!+#REF!+T24+V24+#REF!+#REF!+#REF!+AA24+AC24+#REF!+#REF!+#REF!+AH24+AJ24+#REF!+#REF!+#REF!+AO24+AQ24+#REF!+#REF!+#REF!+AV24+AX24+#REF!+#REF!+#REF!+BC24+BE24+#REF!+#REF!+#REF!+BJ24+BL24+#REF!+#REF!+#REF!</f>
        <v>#REF!</v>
      </c>
      <c r="BP24" s="15" t="e">
        <f t="shared" si="27"/>
        <v>#REF!</v>
      </c>
    </row>
    <row r="25" spans="1:68" x14ac:dyDescent="0.25">
      <c r="A25" s="2"/>
      <c r="B25" s="50" t="s">
        <v>42</v>
      </c>
      <c r="C25" s="41" t="s">
        <v>34</v>
      </c>
      <c r="D25" s="52">
        <v>287.20197000000002</v>
      </c>
      <c r="E25" s="191">
        <f>H25*$K$69</f>
        <v>66.325999999999993</v>
      </c>
      <c r="F25" s="92">
        <v>18668.128049999999</v>
      </c>
      <c r="G25" s="39"/>
      <c r="H25" s="162">
        <v>65</v>
      </c>
      <c r="I25" s="39"/>
      <c r="J25" s="35"/>
      <c r="K25" s="36">
        <f t="shared" ref="K25:K27" si="76">J25*$F25</f>
        <v>0</v>
      </c>
      <c r="L25" s="37"/>
      <c r="M25" s="38">
        <f t="shared" ref="M25:M27" si="77">L25*K25</f>
        <v>0</v>
      </c>
      <c r="N25" s="37"/>
      <c r="O25" s="38">
        <f t="shared" ref="O25:O27" si="78">N25*K25</f>
        <v>0</v>
      </c>
      <c r="P25" s="39"/>
      <c r="Q25" s="35">
        <v>0.14285714285714288</v>
      </c>
      <c r="R25" s="36">
        <f t="shared" ref="R25:R27" si="79">Q25*$F25</f>
        <v>2666.8754357142861</v>
      </c>
      <c r="S25" s="37">
        <v>0.5</v>
      </c>
      <c r="T25" s="38">
        <f t="shared" ref="T25:T27" si="80">S25*R25</f>
        <v>1333.4377178571431</v>
      </c>
      <c r="U25" s="37">
        <v>0.5</v>
      </c>
      <c r="V25" s="38">
        <f t="shared" ref="V25:V27" si="81">U25*R25</f>
        <v>1333.4377178571431</v>
      </c>
      <c r="W25" s="39"/>
      <c r="X25" s="35">
        <v>0.14285714285714288</v>
      </c>
      <c r="Y25" s="36">
        <f t="shared" ref="Y25:Y27" si="82">X25*$F25</f>
        <v>2666.8754357142861</v>
      </c>
      <c r="Z25" s="37">
        <v>0.5</v>
      </c>
      <c r="AA25" s="38">
        <f t="shared" ref="AA25:AA27" si="83">Z25*Y25</f>
        <v>1333.4377178571431</v>
      </c>
      <c r="AB25" s="37">
        <v>0.5</v>
      </c>
      <c r="AC25" s="38">
        <f t="shared" ref="AC25:AC27" si="84">AB25*Y25</f>
        <v>1333.4377178571431</v>
      </c>
      <c r="AD25" s="39"/>
      <c r="AE25" s="35">
        <v>0.14285714285714288</v>
      </c>
      <c r="AF25" s="36">
        <f t="shared" ref="AF25:AF27" si="85">AE25*$F25</f>
        <v>2666.8754357142861</v>
      </c>
      <c r="AG25" s="37">
        <v>0.5</v>
      </c>
      <c r="AH25" s="38">
        <f t="shared" ref="AH25:AH27" si="86">AG25*AF25</f>
        <v>1333.4377178571431</v>
      </c>
      <c r="AI25" s="37">
        <v>0.5</v>
      </c>
      <c r="AJ25" s="38">
        <f t="shared" ref="AJ25:AJ27" si="87">AI25*AF25</f>
        <v>1333.4377178571431</v>
      </c>
      <c r="AK25" s="39"/>
      <c r="AL25" s="35">
        <v>0.14285714285714288</v>
      </c>
      <c r="AM25" s="36">
        <f t="shared" ref="AM25:AM27" si="88">AL25*$F25</f>
        <v>2666.8754357142861</v>
      </c>
      <c r="AN25" s="37">
        <v>0.5</v>
      </c>
      <c r="AO25" s="38">
        <f t="shared" ref="AO25:AO27" si="89">AN25*AM25</f>
        <v>1333.4377178571431</v>
      </c>
      <c r="AP25" s="51">
        <v>0.5</v>
      </c>
      <c r="AQ25" s="38">
        <f t="shared" ref="AQ25:AQ27" si="90">AP25*AM25</f>
        <v>1333.4377178571431</v>
      </c>
      <c r="AR25" s="39"/>
      <c r="AS25" s="35">
        <v>0.14285714285714288</v>
      </c>
      <c r="AT25" s="36">
        <f t="shared" ref="AT25:AT27" si="91">AS25*$F25</f>
        <v>2666.8754357142861</v>
      </c>
      <c r="AU25" s="37">
        <v>0.5</v>
      </c>
      <c r="AV25" s="38">
        <f t="shared" ref="AV25:AV27" si="92">AU25*AT25</f>
        <v>1333.4377178571431</v>
      </c>
      <c r="AW25" s="37">
        <v>0.5</v>
      </c>
      <c r="AX25" s="38">
        <f t="shared" ref="AX25:AX27" si="93">AW25*AT25</f>
        <v>1333.4377178571431</v>
      </c>
      <c r="AY25" s="39"/>
      <c r="AZ25" s="35">
        <v>0.14285714285714288</v>
      </c>
      <c r="BA25" s="36">
        <f t="shared" ref="BA25:BA27" si="94">AZ25*$F25</f>
        <v>2666.8754357142861</v>
      </c>
      <c r="BB25" s="37">
        <v>0.5</v>
      </c>
      <c r="BC25" s="38">
        <f t="shared" ref="BC25:BC27" si="95">BB25*BA25</f>
        <v>1333.4377178571431</v>
      </c>
      <c r="BD25" s="37">
        <v>0.5</v>
      </c>
      <c r="BE25" s="38">
        <f t="shared" ref="BE25:BE27" si="96">BD25*BA25</f>
        <v>1333.4377178571431</v>
      </c>
      <c r="BF25" s="39"/>
      <c r="BG25" s="35">
        <v>0.14285714285714288</v>
      </c>
      <c r="BH25" s="36">
        <f t="shared" ref="BH25:BH27" si="97">BG25*$F25</f>
        <v>2666.8754357142861</v>
      </c>
      <c r="BI25" s="37">
        <v>0.5</v>
      </c>
      <c r="BJ25" s="38">
        <f t="shared" ref="BJ25:BJ27" si="98">BI25*BH25</f>
        <v>1333.4377178571431</v>
      </c>
      <c r="BK25" s="37">
        <v>0.5</v>
      </c>
      <c r="BL25" s="38">
        <f t="shared" ref="BL25:BL27" si="99">BK25*BH25</f>
        <v>1333.4377178571431</v>
      </c>
      <c r="BM25" s="40">
        <f t="shared" si="1"/>
        <v>18668.128049999999</v>
      </c>
      <c r="BN25" s="40">
        <f t="shared" si="2"/>
        <v>18668.128050000003</v>
      </c>
      <c r="BO25" s="40" t="e">
        <f>M25+O25+#REF!+#REF!+#REF!+T25+V25+#REF!+#REF!+#REF!+AA25+AC25+#REF!+#REF!+#REF!+AH25+AJ25+#REF!+#REF!+#REF!+AO25+AQ25+#REF!+#REF!+#REF!+AV25+AX25+#REF!+#REF!+#REF!+BC25+BE25+#REF!+#REF!+#REF!+BJ25+BL25+#REF!+#REF!+#REF!</f>
        <v>#REF!</v>
      </c>
      <c r="BP25" s="15" t="e">
        <f t="shared" si="27"/>
        <v>#REF!</v>
      </c>
    </row>
    <row r="26" spans="1:68" x14ac:dyDescent="0.25">
      <c r="B26" s="45" t="s">
        <v>173</v>
      </c>
      <c r="C26" s="41" t="s">
        <v>43</v>
      </c>
      <c r="D26" s="52">
        <v>1</v>
      </c>
      <c r="E26" s="33">
        <v>50000</v>
      </c>
      <c r="F26" s="92">
        <v>50000</v>
      </c>
      <c r="G26" s="39"/>
      <c r="H26" s="162">
        <v>50000</v>
      </c>
      <c r="I26" s="39"/>
      <c r="J26" s="35"/>
      <c r="K26" s="36">
        <f t="shared" si="76"/>
        <v>0</v>
      </c>
      <c r="L26" s="37"/>
      <c r="M26" s="38">
        <f t="shared" si="77"/>
        <v>0</v>
      </c>
      <c r="N26" s="37"/>
      <c r="O26" s="38">
        <f t="shared" si="78"/>
        <v>0</v>
      </c>
      <c r="P26" s="39"/>
      <c r="Q26" s="35"/>
      <c r="R26" s="36">
        <f t="shared" si="79"/>
        <v>0</v>
      </c>
      <c r="S26" s="37"/>
      <c r="T26" s="38">
        <f t="shared" si="80"/>
        <v>0</v>
      </c>
      <c r="U26" s="37"/>
      <c r="V26" s="38">
        <f t="shared" si="81"/>
        <v>0</v>
      </c>
      <c r="W26" s="39"/>
      <c r="X26" s="35">
        <v>0.8</v>
      </c>
      <c r="Y26" s="36">
        <f t="shared" si="82"/>
        <v>40000</v>
      </c>
      <c r="Z26" s="37">
        <v>0.5</v>
      </c>
      <c r="AA26" s="38">
        <f t="shared" si="83"/>
        <v>20000</v>
      </c>
      <c r="AB26" s="37">
        <v>0.5</v>
      </c>
      <c r="AC26" s="38">
        <f t="shared" si="84"/>
        <v>20000</v>
      </c>
      <c r="AD26" s="39"/>
      <c r="AE26" s="35">
        <v>0.2</v>
      </c>
      <c r="AF26" s="36">
        <f t="shared" si="85"/>
        <v>10000</v>
      </c>
      <c r="AG26" s="37">
        <v>0.5</v>
      </c>
      <c r="AH26" s="38">
        <f t="shared" si="86"/>
        <v>5000</v>
      </c>
      <c r="AI26" s="37">
        <v>0.5</v>
      </c>
      <c r="AJ26" s="38">
        <f t="shared" si="87"/>
        <v>5000</v>
      </c>
      <c r="AK26" s="39"/>
      <c r="AL26" s="35"/>
      <c r="AM26" s="36">
        <f t="shared" si="88"/>
        <v>0</v>
      </c>
      <c r="AN26" s="37"/>
      <c r="AO26" s="38">
        <f t="shared" si="89"/>
        <v>0</v>
      </c>
      <c r="AP26" s="37"/>
      <c r="AQ26" s="38">
        <f t="shared" si="90"/>
        <v>0</v>
      </c>
      <c r="AR26" s="39"/>
      <c r="AS26" s="35"/>
      <c r="AT26" s="36">
        <f t="shared" si="91"/>
        <v>0</v>
      </c>
      <c r="AU26" s="37"/>
      <c r="AV26" s="38">
        <f t="shared" si="92"/>
        <v>0</v>
      </c>
      <c r="AW26" s="37"/>
      <c r="AX26" s="38">
        <f t="shared" si="93"/>
        <v>0</v>
      </c>
      <c r="AY26" s="39"/>
      <c r="AZ26" s="35"/>
      <c r="BA26" s="36">
        <f t="shared" si="94"/>
        <v>0</v>
      </c>
      <c r="BB26" s="37"/>
      <c r="BC26" s="38">
        <f t="shared" si="95"/>
        <v>0</v>
      </c>
      <c r="BD26" s="37"/>
      <c r="BE26" s="38">
        <f t="shared" si="96"/>
        <v>0</v>
      </c>
      <c r="BF26" s="39"/>
      <c r="BG26" s="35"/>
      <c r="BH26" s="36">
        <f t="shared" si="97"/>
        <v>0</v>
      </c>
      <c r="BI26" s="37"/>
      <c r="BJ26" s="38">
        <f t="shared" si="98"/>
        <v>0</v>
      </c>
      <c r="BK26" s="37"/>
      <c r="BL26" s="38">
        <f t="shared" si="99"/>
        <v>0</v>
      </c>
      <c r="BM26" s="40">
        <f t="shared" si="1"/>
        <v>50000</v>
      </c>
      <c r="BN26" s="40">
        <f t="shared" si="2"/>
        <v>50000</v>
      </c>
      <c r="BO26" s="40" t="e">
        <f>M26+O26+#REF!+#REF!+#REF!+T26+V26+#REF!+#REF!+#REF!+AA26+AC26+#REF!+#REF!+#REF!+AH26+AJ26+#REF!+#REF!+#REF!+AO26+AQ26+#REF!+#REF!+#REF!+AV26+AX26+#REF!+#REF!+#REF!+BC26+BE26+#REF!+#REF!+#REF!+BJ26+BL26+#REF!+#REF!+#REF!</f>
        <v>#REF!</v>
      </c>
      <c r="BP26" s="15" t="e">
        <f t="shared" si="27"/>
        <v>#REF!</v>
      </c>
    </row>
    <row r="27" spans="1:68" x14ac:dyDescent="0.25">
      <c r="B27" s="47" t="s">
        <v>44</v>
      </c>
      <c r="C27" s="41" t="s">
        <v>34</v>
      </c>
      <c r="D27" s="52">
        <v>18000</v>
      </c>
      <c r="E27" s="191">
        <f>H27*$K$69</f>
        <v>15.305999999999999</v>
      </c>
      <c r="F27" s="92">
        <v>270000</v>
      </c>
      <c r="G27" s="39"/>
      <c r="H27" s="162">
        <v>15</v>
      </c>
      <c r="I27" s="39"/>
      <c r="J27" s="35"/>
      <c r="K27" s="36">
        <f t="shared" si="76"/>
        <v>0</v>
      </c>
      <c r="L27" s="37"/>
      <c r="M27" s="38">
        <f t="shared" si="77"/>
        <v>0</v>
      </c>
      <c r="N27" s="37"/>
      <c r="O27" s="38">
        <f t="shared" si="78"/>
        <v>0</v>
      </c>
      <c r="P27" s="39"/>
      <c r="Q27" s="35">
        <v>1</v>
      </c>
      <c r="R27" s="36">
        <f t="shared" si="79"/>
        <v>270000</v>
      </c>
      <c r="S27" s="37">
        <v>0.5</v>
      </c>
      <c r="T27" s="38">
        <f t="shared" si="80"/>
        <v>135000</v>
      </c>
      <c r="U27" s="37">
        <v>0.5</v>
      </c>
      <c r="V27" s="38">
        <f t="shared" si="81"/>
        <v>135000</v>
      </c>
      <c r="W27" s="39"/>
      <c r="X27" s="35"/>
      <c r="Y27" s="36">
        <f t="shared" si="82"/>
        <v>0</v>
      </c>
      <c r="Z27" s="37"/>
      <c r="AA27" s="38">
        <f t="shared" si="83"/>
        <v>0</v>
      </c>
      <c r="AB27" s="37"/>
      <c r="AC27" s="38">
        <f t="shared" si="84"/>
        <v>0</v>
      </c>
      <c r="AD27" s="39"/>
      <c r="AE27" s="35"/>
      <c r="AF27" s="36">
        <f t="shared" si="85"/>
        <v>0</v>
      </c>
      <c r="AG27" s="37"/>
      <c r="AH27" s="38">
        <f t="shared" si="86"/>
        <v>0</v>
      </c>
      <c r="AI27" s="37"/>
      <c r="AJ27" s="38">
        <f t="shared" si="87"/>
        <v>0</v>
      </c>
      <c r="AK27" s="39"/>
      <c r="AL27" s="35"/>
      <c r="AM27" s="36">
        <f t="shared" si="88"/>
        <v>0</v>
      </c>
      <c r="AN27" s="37"/>
      <c r="AO27" s="38">
        <f t="shared" si="89"/>
        <v>0</v>
      </c>
      <c r="AP27" s="37"/>
      <c r="AQ27" s="38">
        <f t="shared" si="90"/>
        <v>0</v>
      </c>
      <c r="AR27" s="39"/>
      <c r="AS27" s="35"/>
      <c r="AT27" s="36">
        <f t="shared" si="91"/>
        <v>0</v>
      </c>
      <c r="AU27" s="37"/>
      <c r="AV27" s="38">
        <f t="shared" si="92"/>
        <v>0</v>
      </c>
      <c r="AW27" s="37"/>
      <c r="AX27" s="38">
        <f t="shared" si="93"/>
        <v>0</v>
      </c>
      <c r="AY27" s="39"/>
      <c r="AZ27" s="35"/>
      <c r="BA27" s="36">
        <f t="shared" si="94"/>
        <v>0</v>
      </c>
      <c r="BB27" s="37"/>
      <c r="BC27" s="38">
        <f t="shared" si="95"/>
        <v>0</v>
      </c>
      <c r="BD27" s="37"/>
      <c r="BE27" s="38">
        <f t="shared" si="96"/>
        <v>0</v>
      </c>
      <c r="BF27" s="39"/>
      <c r="BG27" s="35"/>
      <c r="BH27" s="36">
        <f t="shared" si="97"/>
        <v>0</v>
      </c>
      <c r="BI27" s="37"/>
      <c r="BJ27" s="38">
        <f t="shared" si="98"/>
        <v>0</v>
      </c>
      <c r="BK27" s="37"/>
      <c r="BL27" s="38">
        <f t="shared" si="99"/>
        <v>0</v>
      </c>
      <c r="BM27" s="40">
        <f t="shared" si="1"/>
        <v>270000</v>
      </c>
      <c r="BN27" s="40">
        <f t="shared" si="2"/>
        <v>270000</v>
      </c>
      <c r="BO27" s="40" t="e">
        <f>M27+O27+#REF!+#REF!+#REF!+T27+V27+#REF!+#REF!+#REF!+AA27+AC27+#REF!+#REF!+#REF!+AH27+AJ27+#REF!+#REF!+#REF!+AO27+AQ27+#REF!+#REF!+#REF!+AV27+AX27+#REF!+#REF!+#REF!+BC27+BE27+#REF!+#REF!+#REF!+BJ27+BL27+#REF!+#REF!+#REF!</f>
        <v>#REF!</v>
      </c>
      <c r="BP27" s="15" t="e">
        <f t="shared" si="27"/>
        <v>#REF!</v>
      </c>
    </row>
    <row r="28" spans="1:68" x14ac:dyDescent="0.25">
      <c r="B28" s="98" t="s">
        <v>142</v>
      </c>
      <c r="C28" s="99" t="s">
        <v>34</v>
      </c>
      <c r="D28" s="100">
        <v>120</v>
      </c>
      <c r="E28" s="191">
        <f>H28*$K$69</f>
        <v>244.89599999999999</v>
      </c>
      <c r="F28" s="92">
        <f>D28*E28</f>
        <v>29387.519999999997</v>
      </c>
      <c r="G28" s="39"/>
      <c r="H28" s="162">
        <v>240</v>
      </c>
      <c r="I28" s="39"/>
      <c r="J28" s="35"/>
      <c r="K28" s="36"/>
      <c r="L28" s="37"/>
      <c r="M28" s="38"/>
      <c r="N28" s="37"/>
      <c r="O28" s="38"/>
      <c r="P28" s="39"/>
      <c r="Q28" s="35"/>
      <c r="R28" s="36"/>
      <c r="S28" s="37"/>
      <c r="T28" s="38"/>
      <c r="U28" s="37"/>
      <c r="V28" s="38"/>
      <c r="W28" s="39"/>
      <c r="X28" s="35"/>
      <c r="Y28" s="36"/>
      <c r="Z28" s="37"/>
      <c r="AA28" s="38"/>
      <c r="AB28" s="37"/>
      <c r="AC28" s="38"/>
      <c r="AD28" s="39"/>
      <c r="AE28" s="35"/>
      <c r="AF28" s="36"/>
      <c r="AG28" s="37"/>
      <c r="AH28" s="38"/>
      <c r="AI28" s="37"/>
      <c r="AJ28" s="38"/>
      <c r="AK28" s="39"/>
      <c r="AL28" s="35"/>
      <c r="AM28" s="36"/>
      <c r="AN28" s="37"/>
      <c r="AO28" s="38"/>
      <c r="AP28" s="37"/>
      <c r="AQ28" s="38"/>
      <c r="AR28" s="39"/>
      <c r="AS28" s="35"/>
      <c r="AT28" s="36"/>
      <c r="AU28" s="37"/>
      <c r="AV28" s="38"/>
      <c r="AW28" s="37"/>
      <c r="AX28" s="38"/>
      <c r="AY28" s="39"/>
      <c r="AZ28" s="35"/>
      <c r="BA28" s="36"/>
      <c r="BB28" s="37"/>
      <c r="BC28" s="38"/>
      <c r="BD28" s="37"/>
      <c r="BE28" s="38"/>
      <c r="BF28" s="39"/>
      <c r="BG28" s="35"/>
      <c r="BH28" s="36"/>
      <c r="BI28" s="37"/>
      <c r="BJ28" s="38"/>
      <c r="BK28" s="37"/>
      <c r="BL28" s="38"/>
      <c r="BM28" s="40"/>
      <c r="BN28" s="40"/>
      <c r="BO28" s="40"/>
      <c r="BP28" s="15"/>
    </row>
    <row r="29" spans="1:68" x14ac:dyDescent="0.25">
      <c r="B29" s="98" t="s">
        <v>151</v>
      </c>
      <c r="C29" s="99" t="s">
        <v>37</v>
      </c>
      <c r="D29" s="100">
        <f>F29/E29</f>
        <v>176091.53539360259</v>
      </c>
      <c r="E29" s="46">
        <f>$K$60</f>
        <v>-0.31414430979039298</v>
      </c>
      <c r="F29" s="92">
        <v>-55318.153846153844</v>
      </c>
      <c r="G29" s="39"/>
      <c r="H29" s="162">
        <v>-0.37</v>
      </c>
      <c r="I29" s="39"/>
      <c r="J29" s="35"/>
      <c r="K29" s="36">
        <f t="shared" ref="K29" si="100">J29*$F29</f>
        <v>0</v>
      </c>
      <c r="L29" s="37"/>
      <c r="M29" s="38">
        <f t="shared" ref="M29" si="101">L29*K29</f>
        <v>0</v>
      </c>
      <c r="N29" s="37"/>
      <c r="O29" s="38">
        <f t="shared" ref="O29" si="102">N29*K29</f>
        <v>0</v>
      </c>
      <c r="P29" s="39"/>
      <c r="Q29" s="35"/>
      <c r="R29" s="36">
        <f t="shared" ref="R29" si="103">Q29*$F29</f>
        <v>0</v>
      </c>
      <c r="S29" s="37"/>
      <c r="T29" s="38">
        <f t="shared" ref="T29" si="104">S29*R29</f>
        <v>0</v>
      </c>
      <c r="U29" s="37"/>
      <c r="V29" s="38">
        <f t="shared" ref="V29" si="105">U29*R29</f>
        <v>0</v>
      </c>
      <c r="W29" s="39"/>
      <c r="X29" s="35"/>
      <c r="Y29" s="36">
        <f t="shared" ref="Y29" si="106">X29*$F29</f>
        <v>0</v>
      </c>
      <c r="Z29" s="37"/>
      <c r="AA29" s="38">
        <f t="shared" ref="AA29" si="107">Z29*Y29</f>
        <v>0</v>
      </c>
      <c r="AB29" s="37"/>
      <c r="AC29" s="38">
        <f t="shared" ref="AC29" si="108">AB29*Y29</f>
        <v>0</v>
      </c>
      <c r="AD29" s="39"/>
      <c r="AE29" s="35"/>
      <c r="AF29" s="36">
        <f t="shared" ref="AF29" si="109">AE29*$F29</f>
        <v>0</v>
      </c>
      <c r="AG29" s="37"/>
      <c r="AH29" s="38">
        <f t="shared" ref="AH29" si="110">AG29*AF29</f>
        <v>0</v>
      </c>
      <c r="AI29" s="37"/>
      <c r="AJ29" s="38">
        <f t="shared" ref="AJ29" si="111">AI29*AF29</f>
        <v>0</v>
      </c>
      <c r="AK29" s="39"/>
      <c r="AL29" s="35"/>
      <c r="AM29" s="36">
        <f t="shared" ref="AM29" si="112">AL29*$F29</f>
        <v>0</v>
      </c>
      <c r="AN29" s="37"/>
      <c r="AO29" s="38">
        <f t="shared" ref="AO29" si="113">AN29*AM29</f>
        <v>0</v>
      </c>
      <c r="AP29" s="37"/>
      <c r="AQ29" s="38">
        <f t="shared" ref="AQ29" si="114">AP29*AM29</f>
        <v>0</v>
      </c>
      <c r="AR29" s="39"/>
      <c r="AS29" s="35">
        <v>1</v>
      </c>
      <c r="AT29" s="36">
        <f t="shared" ref="AT29" si="115">AS29*$F29</f>
        <v>-55318.153846153844</v>
      </c>
      <c r="AU29" s="37">
        <v>0.5</v>
      </c>
      <c r="AV29" s="38">
        <f t="shared" ref="AV29" si="116">AU29*AT29</f>
        <v>-27659.076923076922</v>
      </c>
      <c r="AW29" s="37">
        <v>0.5</v>
      </c>
      <c r="AX29" s="38">
        <f t="shared" ref="AX29" si="117">AW29*AT29</f>
        <v>-27659.076923076922</v>
      </c>
      <c r="AY29" s="39"/>
      <c r="AZ29" s="35"/>
      <c r="BA29" s="36">
        <f t="shared" ref="BA29" si="118">AZ29*$F29</f>
        <v>0</v>
      </c>
      <c r="BB29" s="37"/>
      <c r="BC29" s="38">
        <f t="shared" ref="BC29" si="119">BB29*BA29</f>
        <v>0</v>
      </c>
      <c r="BD29" s="37"/>
      <c r="BE29" s="38">
        <f t="shared" ref="BE29" si="120">BD29*BA29</f>
        <v>0</v>
      </c>
      <c r="BF29" s="39"/>
      <c r="BG29" s="35"/>
      <c r="BH29" s="36">
        <f t="shared" ref="BH29" si="121">BG29*$F29</f>
        <v>0</v>
      </c>
      <c r="BI29" s="37"/>
      <c r="BJ29" s="38">
        <f t="shared" ref="BJ29" si="122">BI29*BH29</f>
        <v>0</v>
      </c>
      <c r="BK29" s="37"/>
      <c r="BL29" s="38">
        <f>BK29*BH29</f>
        <v>0</v>
      </c>
      <c r="BM29" s="40">
        <f>F29</f>
        <v>-55318.153846153844</v>
      </c>
      <c r="BN29" s="40">
        <f>K29+R29+Y29+AF29+AM29+AT29+BA29+BH29</f>
        <v>-55318.153846153844</v>
      </c>
      <c r="BO29" s="40" t="e">
        <f>M29+O29+#REF!+#REF!+#REF!+T29+V29+#REF!+#REF!+#REF!+AA29+AC29+#REF!+#REF!+#REF!+AH29+AJ29+#REF!+#REF!+#REF!+AO29+AQ29+#REF!+#REF!+#REF!+AV29+AX29+#REF!+#REF!+#REF!+BC29+BE29+#REF!+#REF!+#REF!+BJ29+BL29+#REF!+#REF!+#REF!</f>
        <v>#REF!</v>
      </c>
      <c r="BP29" s="15" t="e">
        <f t="shared" si="27"/>
        <v>#REF!</v>
      </c>
    </row>
    <row r="30" spans="1:68" x14ac:dyDescent="0.25">
      <c r="B30" s="98" t="s">
        <v>144</v>
      </c>
      <c r="C30" s="99" t="s">
        <v>34</v>
      </c>
      <c r="D30" s="100">
        <v>120</v>
      </c>
      <c r="E30" s="33">
        <f>$K$58</f>
        <v>-108.3695731319762</v>
      </c>
      <c r="F30" s="92">
        <f>D30*E30</f>
        <v>-13004.348775837143</v>
      </c>
      <c r="G30" s="39"/>
      <c r="H30" s="162">
        <v>-123.79</v>
      </c>
      <c r="I30" s="39"/>
      <c r="J30" s="35"/>
      <c r="K30" s="36"/>
      <c r="L30" s="37"/>
      <c r="M30" s="38"/>
      <c r="N30" s="37"/>
      <c r="O30" s="38"/>
      <c r="P30" s="39"/>
      <c r="Q30" s="35"/>
      <c r="R30" s="36"/>
      <c r="S30" s="37"/>
      <c r="T30" s="38"/>
      <c r="U30" s="37"/>
      <c r="V30" s="38"/>
      <c r="W30" s="39"/>
      <c r="X30" s="35"/>
      <c r="Y30" s="36"/>
      <c r="Z30" s="37"/>
      <c r="AA30" s="38"/>
      <c r="AB30" s="37"/>
      <c r="AC30" s="38"/>
      <c r="AD30" s="39"/>
      <c r="AE30" s="35"/>
      <c r="AF30" s="36"/>
      <c r="AG30" s="37"/>
      <c r="AH30" s="38"/>
      <c r="AI30" s="37"/>
      <c r="AJ30" s="38"/>
      <c r="AK30" s="39"/>
      <c r="AL30" s="35"/>
      <c r="AM30" s="36"/>
      <c r="AN30" s="37"/>
      <c r="AO30" s="38"/>
      <c r="AP30" s="37"/>
      <c r="AQ30" s="38"/>
      <c r="AR30" s="39"/>
      <c r="AS30" s="35"/>
      <c r="AT30" s="36"/>
      <c r="AU30" s="37"/>
      <c r="AV30" s="38"/>
      <c r="AW30" s="37"/>
      <c r="AX30" s="38"/>
      <c r="AY30" s="39"/>
      <c r="AZ30" s="35"/>
      <c r="BA30" s="36"/>
      <c r="BB30" s="37"/>
      <c r="BC30" s="38"/>
      <c r="BD30" s="37"/>
      <c r="BE30" s="38"/>
      <c r="BF30" s="39"/>
      <c r="BG30" s="35"/>
      <c r="BH30" s="36"/>
      <c r="BI30" s="37"/>
      <c r="BJ30" s="38"/>
      <c r="BK30" s="37"/>
      <c r="BL30" s="38"/>
      <c r="BM30" s="40"/>
      <c r="BN30" s="40"/>
      <c r="BO30" s="40"/>
      <c r="BP30" s="15"/>
    </row>
    <row r="31" spans="1:68" x14ac:dyDescent="0.25">
      <c r="B31" s="45" t="s">
        <v>45</v>
      </c>
      <c r="C31" s="41" t="s">
        <v>41</v>
      </c>
      <c r="D31" s="52">
        <v>33846.222222222219</v>
      </c>
      <c r="E31" s="191">
        <f>H31*$K$69</f>
        <v>35.713999999999999</v>
      </c>
      <c r="F31" s="92">
        <v>1184617.7777777778</v>
      </c>
      <c r="G31" s="39"/>
      <c r="H31" s="162">
        <v>35</v>
      </c>
      <c r="I31" s="39"/>
      <c r="J31" s="35"/>
      <c r="K31" s="36">
        <f t="shared" ref="K31" si="123">J31*$F31</f>
        <v>0</v>
      </c>
      <c r="L31" s="37"/>
      <c r="M31" s="38">
        <f t="shared" ref="M31" si="124">L31*K31</f>
        <v>0</v>
      </c>
      <c r="N31" s="37"/>
      <c r="O31" s="38">
        <f t="shared" ref="O31" si="125">N31*K31</f>
        <v>0</v>
      </c>
      <c r="P31" s="39"/>
      <c r="Q31" s="35">
        <v>1</v>
      </c>
      <c r="R31" s="36">
        <f t="shared" ref="R31" si="126">Q31*$F31</f>
        <v>1184617.7777777778</v>
      </c>
      <c r="S31" s="37">
        <v>0.5</v>
      </c>
      <c r="T31" s="38">
        <f t="shared" ref="T31" si="127">S31*R31</f>
        <v>592308.88888888888</v>
      </c>
      <c r="U31" s="37">
        <v>0.5</v>
      </c>
      <c r="V31" s="38">
        <f t="shared" ref="V31" si="128">U31*R31</f>
        <v>592308.88888888888</v>
      </c>
      <c r="W31" s="39"/>
      <c r="X31" s="35"/>
      <c r="Y31" s="36">
        <f t="shared" ref="Y31" si="129">X31*$F31</f>
        <v>0</v>
      </c>
      <c r="Z31" s="37"/>
      <c r="AA31" s="38">
        <f t="shared" ref="AA31" si="130">Z31*Y31</f>
        <v>0</v>
      </c>
      <c r="AB31" s="37"/>
      <c r="AC31" s="38">
        <f t="shared" ref="AC31" si="131">AB31*Y31</f>
        <v>0</v>
      </c>
      <c r="AD31" s="39"/>
      <c r="AE31" s="35"/>
      <c r="AF31" s="36">
        <f t="shared" ref="AF31" si="132">AE31*$F31</f>
        <v>0</v>
      </c>
      <c r="AG31" s="37"/>
      <c r="AH31" s="38">
        <f t="shared" ref="AH31" si="133">AG31*AF31</f>
        <v>0</v>
      </c>
      <c r="AI31" s="37"/>
      <c r="AJ31" s="38">
        <f t="shared" ref="AJ31" si="134">AI31*AF31</f>
        <v>0</v>
      </c>
      <c r="AK31" s="39"/>
      <c r="AL31" s="35"/>
      <c r="AM31" s="36">
        <f t="shared" ref="AM31" si="135">AL31*$F31</f>
        <v>0</v>
      </c>
      <c r="AN31" s="37"/>
      <c r="AO31" s="38">
        <f t="shared" ref="AO31" si="136">AN31*AM31</f>
        <v>0</v>
      </c>
      <c r="AP31" s="37"/>
      <c r="AQ31" s="38">
        <f t="shared" ref="AQ31" si="137">AP31*AM31</f>
        <v>0</v>
      </c>
      <c r="AR31" s="39"/>
      <c r="AS31" s="35"/>
      <c r="AT31" s="36">
        <f t="shared" ref="AT31" si="138">AS31*$F31</f>
        <v>0</v>
      </c>
      <c r="AU31" s="37"/>
      <c r="AV31" s="38">
        <f t="shared" ref="AV31" si="139">AU31*AT31</f>
        <v>0</v>
      </c>
      <c r="AW31" s="37"/>
      <c r="AX31" s="38">
        <f t="shared" ref="AX31" si="140">AW31*AT31</f>
        <v>0</v>
      </c>
      <c r="AY31" s="39"/>
      <c r="AZ31" s="35"/>
      <c r="BA31" s="36">
        <f t="shared" ref="BA31" si="141">AZ31*$F31</f>
        <v>0</v>
      </c>
      <c r="BB31" s="37"/>
      <c r="BC31" s="38">
        <f t="shared" ref="BC31" si="142">BB31*BA31</f>
        <v>0</v>
      </c>
      <c r="BD31" s="37"/>
      <c r="BE31" s="38">
        <f t="shared" ref="BE31" si="143">BD31*BA31</f>
        <v>0</v>
      </c>
      <c r="BF31" s="39"/>
      <c r="BG31" s="35"/>
      <c r="BH31" s="36">
        <f t="shared" ref="BH31" si="144">BG31*$F31</f>
        <v>0</v>
      </c>
      <c r="BI31" s="37"/>
      <c r="BJ31" s="38">
        <f t="shared" ref="BJ31" si="145">BI31*BH31</f>
        <v>0</v>
      </c>
      <c r="BK31" s="37"/>
      <c r="BL31" s="38">
        <f t="shared" ref="BL31" si="146">BK31*BH31</f>
        <v>0</v>
      </c>
      <c r="BM31" s="40">
        <f>F31</f>
        <v>1184617.7777777778</v>
      </c>
      <c r="BN31" s="40">
        <f>K31+R31+Y31+AF31+AM31+AT31+BA31+BH31</f>
        <v>1184617.7777777778</v>
      </c>
      <c r="BO31" s="40" t="e">
        <f>M31+O31+#REF!+#REF!+#REF!+T31+V31+#REF!+#REF!+#REF!+AA31+AC31+#REF!+#REF!+#REF!+AH31+AJ31+#REF!+#REF!+#REF!+AO31+AQ31+#REF!+#REF!+#REF!+AV31+AX31+#REF!+#REF!+#REF!+BC31+BE31+#REF!+#REF!+#REF!+BJ31+BL31+#REF!+#REF!+#REF!</f>
        <v>#REF!</v>
      </c>
      <c r="BP31" s="15" t="e">
        <f t="shared" si="27"/>
        <v>#REF!</v>
      </c>
    </row>
    <row r="32" spans="1:68" x14ac:dyDescent="0.25">
      <c r="B32" s="45"/>
      <c r="C32" s="41"/>
      <c r="D32" s="42"/>
      <c r="E32" s="33"/>
      <c r="F32" s="101"/>
      <c r="G32" s="39"/>
      <c r="H32" s="162">
        <v>0</v>
      </c>
      <c r="I32" s="39"/>
      <c r="J32" s="35"/>
      <c r="K32" s="36"/>
      <c r="L32" s="37"/>
      <c r="M32" s="38"/>
      <c r="N32" s="37"/>
      <c r="O32" s="38"/>
      <c r="P32" s="39"/>
      <c r="Q32" s="35"/>
      <c r="R32" s="36"/>
      <c r="S32" s="37"/>
      <c r="T32" s="38"/>
      <c r="U32" s="37"/>
      <c r="V32" s="38"/>
      <c r="W32" s="39"/>
      <c r="X32" s="35"/>
      <c r="Y32" s="36"/>
      <c r="Z32" s="37"/>
      <c r="AA32" s="38"/>
      <c r="AB32" s="37"/>
      <c r="AC32" s="38"/>
      <c r="AD32" s="39"/>
      <c r="AE32" s="35"/>
      <c r="AF32" s="36"/>
      <c r="AG32" s="37"/>
      <c r="AH32" s="38"/>
      <c r="AI32" s="37"/>
      <c r="AJ32" s="38"/>
      <c r="AK32" s="39"/>
      <c r="AL32" s="35"/>
      <c r="AM32" s="36"/>
      <c r="AN32" s="37"/>
      <c r="AO32" s="38"/>
      <c r="AP32" s="37"/>
      <c r="AQ32" s="38"/>
      <c r="AR32" s="39"/>
      <c r="AS32" s="35"/>
      <c r="AT32" s="36"/>
      <c r="AU32" s="37"/>
      <c r="AV32" s="38"/>
      <c r="AW32" s="37"/>
      <c r="AX32" s="38"/>
      <c r="AY32" s="39"/>
      <c r="AZ32" s="35"/>
      <c r="BA32" s="36"/>
      <c r="BB32" s="37"/>
      <c r="BC32" s="38"/>
      <c r="BD32" s="37"/>
      <c r="BE32" s="38"/>
      <c r="BF32" s="39"/>
      <c r="BG32" s="35"/>
      <c r="BH32" s="36"/>
      <c r="BI32" s="37"/>
      <c r="BJ32" s="38"/>
      <c r="BK32" s="37"/>
      <c r="BL32" s="38"/>
      <c r="BM32" s="40"/>
      <c r="BN32" s="40"/>
      <c r="BO32" s="40" t="e">
        <f>M32+O32+#REF!+#REF!+#REF!+T32+V32+#REF!+#REF!+#REF!+AA32+AC32+#REF!+#REF!+#REF!+AH32+AJ32+#REF!+#REF!+#REF!+AO32+AQ32+#REF!+#REF!+#REF!+AV32+AX32+#REF!+#REF!+#REF!+BC32+BE32+#REF!+#REF!+#REF!+BJ32+BL32+#REF!+#REF!+#REF!</f>
        <v>#REF!</v>
      </c>
      <c r="BP32" s="15"/>
    </row>
    <row r="33" spans="1:68" x14ac:dyDescent="0.25">
      <c r="A33" s="1" t="s">
        <v>46</v>
      </c>
      <c r="C33" s="44"/>
      <c r="D33" s="52"/>
      <c r="E33" s="49"/>
      <c r="F33" s="33">
        <v>0</v>
      </c>
      <c r="G33" s="39"/>
      <c r="H33" s="162">
        <v>0</v>
      </c>
      <c r="I33" s="39"/>
      <c r="J33" s="35"/>
      <c r="K33" s="36">
        <f t="shared" ref="K33:K35" si="147">J33*$F33</f>
        <v>0</v>
      </c>
      <c r="L33" s="37"/>
      <c r="M33" s="38">
        <f>L33*K33</f>
        <v>0</v>
      </c>
      <c r="N33" s="37"/>
      <c r="O33" s="38">
        <f>N33*K33</f>
        <v>0</v>
      </c>
      <c r="P33" s="39"/>
      <c r="Q33" s="35"/>
      <c r="R33" s="36">
        <f t="shared" ref="R33:R35" si="148">Q33*$F33</f>
        <v>0</v>
      </c>
      <c r="S33" s="37"/>
      <c r="T33" s="38">
        <f>S33*R33</f>
        <v>0</v>
      </c>
      <c r="U33" s="37"/>
      <c r="V33" s="38">
        <f>U33*R33</f>
        <v>0</v>
      </c>
      <c r="W33" s="39"/>
      <c r="X33" s="35"/>
      <c r="Y33" s="36">
        <f t="shared" ref="Y33:Y35" si="149">X33*$F33</f>
        <v>0</v>
      </c>
      <c r="Z33" s="37"/>
      <c r="AA33" s="38">
        <f>Z33*Y33</f>
        <v>0</v>
      </c>
      <c r="AB33" s="37"/>
      <c r="AC33" s="38">
        <f>AB33*Y33</f>
        <v>0</v>
      </c>
      <c r="AD33" s="39"/>
      <c r="AE33" s="35"/>
      <c r="AF33" s="36">
        <f t="shared" ref="AF33:AF35" si="150">AE33*$F33</f>
        <v>0</v>
      </c>
      <c r="AG33" s="37"/>
      <c r="AH33" s="38">
        <f>AG33*AF33</f>
        <v>0</v>
      </c>
      <c r="AI33" s="37"/>
      <c r="AJ33" s="38">
        <f>AI33*AF33</f>
        <v>0</v>
      </c>
      <c r="AK33" s="39"/>
      <c r="AL33" s="35"/>
      <c r="AM33" s="36">
        <f t="shared" ref="AM33:AM35" si="151">AL33*$F33</f>
        <v>0</v>
      </c>
      <c r="AN33" s="37"/>
      <c r="AO33" s="38">
        <f>AN33*AM33</f>
        <v>0</v>
      </c>
      <c r="AP33" s="37"/>
      <c r="AQ33" s="38">
        <f>AP33*AM33</f>
        <v>0</v>
      </c>
      <c r="AR33" s="39"/>
      <c r="AS33" s="35"/>
      <c r="AT33" s="36">
        <f t="shared" ref="AT33:AT35" si="152">AS33*$F33</f>
        <v>0</v>
      </c>
      <c r="AU33" s="37"/>
      <c r="AV33" s="38">
        <f>AU33*AT33</f>
        <v>0</v>
      </c>
      <c r="AW33" s="37"/>
      <c r="AX33" s="38">
        <f>AW33*AT33</f>
        <v>0</v>
      </c>
      <c r="AY33" s="39"/>
      <c r="AZ33" s="35"/>
      <c r="BA33" s="36">
        <f t="shared" ref="BA33:BA35" si="153">AZ33*$F33</f>
        <v>0</v>
      </c>
      <c r="BB33" s="37"/>
      <c r="BC33" s="38">
        <f>BB33*BA33</f>
        <v>0</v>
      </c>
      <c r="BD33" s="37"/>
      <c r="BE33" s="38">
        <f>BD33*BA33</f>
        <v>0</v>
      </c>
      <c r="BF33" s="39"/>
      <c r="BG33" s="35"/>
      <c r="BH33" s="36">
        <f t="shared" ref="BH33:BH35" si="154">BG33*$F33</f>
        <v>0</v>
      </c>
      <c r="BI33" s="37"/>
      <c r="BJ33" s="38">
        <f>BI33*BH33</f>
        <v>0</v>
      </c>
      <c r="BK33" s="37"/>
      <c r="BL33" s="38">
        <f>BK33*BH33</f>
        <v>0</v>
      </c>
      <c r="BM33" s="40">
        <f>F33</f>
        <v>0</v>
      </c>
      <c r="BN33" s="40">
        <f>K33+R33+Y33+AF33+AM33+AT33+BA33+BH33</f>
        <v>0</v>
      </c>
      <c r="BO33" s="40" t="e">
        <f>M33+O33+#REF!+#REF!+#REF!+T33+V33+#REF!+#REF!+#REF!+AA33+AC33+#REF!+#REF!+#REF!+AH33+AJ33+#REF!+#REF!+#REF!+AO33+AQ33+#REF!+#REF!+#REF!+AV33+AX33+#REF!+#REF!+#REF!+BC33+BE33+#REF!+#REF!+#REF!+BJ33+BL33+#REF!+#REF!+#REF!</f>
        <v>#REF!</v>
      </c>
      <c r="BP33" s="15" t="e">
        <f>IF(AND(BM33=BN33,BN33=BO33,BM33=BO33),0,1)</f>
        <v>#REF!</v>
      </c>
    </row>
    <row r="34" spans="1:68" x14ac:dyDescent="0.25">
      <c r="B34" s="47" t="s">
        <v>33</v>
      </c>
      <c r="C34" s="41" t="s">
        <v>34</v>
      </c>
      <c r="D34" s="52">
        <v>700</v>
      </c>
      <c r="E34" s="191">
        <f>H34*$K$69</f>
        <v>244.89599999999999</v>
      </c>
      <c r="F34" s="92">
        <v>168000</v>
      </c>
      <c r="G34" s="39"/>
      <c r="H34" s="162">
        <v>240</v>
      </c>
      <c r="I34" s="39"/>
      <c r="J34" s="35"/>
      <c r="K34" s="36">
        <f t="shared" si="147"/>
        <v>0</v>
      </c>
      <c r="L34" s="37"/>
      <c r="M34" s="38">
        <f>L34*K34</f>
        <v>0</v>
      </c>
      <c r="N34" s="37"/>
      <c r="O34" s="38">
        <f>N34*K34</f>
        <v>0</v>
      </c>
      <c r="P34" s="39"/>
      <c r="Q34" s="35"/>
      <c r="R34" s="36">
        <f t="shared" si="148"/>
        <v>0</v>
      </c>
      <c r="S34" s="37"/>
      <c r="T34" s="38">
        <f>S34*R34</f>
        <v>0</v>
      </c>
      <c r="U34" s="37"/>
      <c r="V34" s="38">
        <f>U34*R34</f>
        <v>0</v>
      </c>
      <c r="W34" s="39"/>
      <c r="X34" s="35">
        <v>0.8</v>
      </c>
      <c r="Y34" s="36">
        <f t="shared" si="149"/>
        <v>134400</v>
      </c>
      <c r="Z34" s="37">
        <v>0.5</v>
      </c>
      <c r="AA34" s="38">
        <f>Z34*Y34</f>
        <v>67200</v>
      </c>
      <c r="AB34" s="37">
        <v>0.5</v>
      </c>
      <c r="AC34" s="38">
        <f>AB34*Y34</f>
        <v>67200</v>
      </c>
      <c r="AD34" s="39"/>
      <c r="AE34" s="35">
        <v>0.2</v>
      </c>
      <c r="AF34" s="36">
        <f t="shared" si="150"/>
        <v>33600</v>
      </c>
      <c r="AG34" s="37">
        <v>0.5</v>
      </c>
      <c r="AH34" s="38">
        <f>AG34*AF34</f>
        <v>16800</v>
      </c>
      <c r="AI34" s="37">
        <v>0.5</v>
      </c>
      <c r="AJ34" s="38">
        <f>AI34*AF34</f>
        <v>16800</v>
      </c>
      <c r="AK34" s="39"/>
      <c r="AL34" s="35"/>
      <c r="AM34" s="36">
        <f t="shared" si="151"/>
        <v>0</v>
      </c>
      <c r="AN34" s="37"/>
      <c r="AO34" s="38">
        <f>AN34*AM34</f>
        <v>0</v>
      </c>
      <c r="AP34" s="37"/>
      <c r="AQ34" s="38">
        <f>AP34*AM34</f>
        <v>0</v>
      </c>
      <c r="AR34" s="39"/>
      <c r="AS34" s="35"/>
      <c r="AT34" s="36">
        <f t="shared" si="152"/>
        <v>0</v>
      </c>
      <c r="AU34" s="37"/>
      <c r="AV34" s="38">
        <f>AU34*AT34</f>
        <v>0</v>
      </c>
      <c r="AW34" s="37"/>
      <c r="AX34" s="38">
        <f>AW34*AT34</f>
        <v>0</v>
      </c>
      <c r="AY34" s="39"/>
      <c r="AZ34" s="35"/>
      <c r="BA34" s="36">
        <f t="shared" si="153"/>
        <v>0</v>
      </c>
      <c r="BB34" s="37"/>
      <c r="BC34" s="38">
        <f>BB34*BA34</f>
        <v>0</v>
      </c>
      <c r="BD34" s="37"/>
      <c r="BE34" s="38">
        <f>BD34*BA34</f>
        <v>0</v>
      </c>
      <c r="BF34" s="39"/>
      <c r="BG34" s="35"/>
      <c r="BH34" s="36">
        <f t="shared" si="154"/>
        <v>0</v>
      </c>
      <c r="BI34" s="37"/>
      <c r="BJ34" s="38">
        <f>BI34*BH34</f>
        <v>0</v>
      </c>
      <c r="BK34" s="37"/>
      <c r="BL34" s="38">
        <f>BK34*BH34</f>
        <v>0</v>
      </c>
      <c r="BM34" s="40">
        <f>F34</f>
        <v>168000</v>
      </c>
      <c r="BN34" s="40">
        <f>K34+R34+Y34+AF34+AM34+AT34+BA34+BH34</f>
        <v>168000</v>
      </c>
      <c r="BO34" s="40" t="e">
        <f>M34+O34+#REF!+#REF!+#REF!+T34+V34+#REF!+#REF!+#REF!+AA34+AC34+#REF!+#REF!+#REF!+AH34+AJ34+#REF!+#REF!+#REF!+AO34+AQ34+#REF!+#REF!+#REF!+AV34+AX34+#REF!+#REF!+#REF!+BC34+BE34+#REF!+#REF!+#REF!+BJ34+BL34+#REF!+#REF!+#REF!</f>
        <v>#REF!</v>
      </c>
      <c r="BP34" s="15" t="e">
        <f>IF(AND(BM34=BN34,BN34=BO34,BM34=BO34),0,1)</f>
        <v>#REF!</v>
      </c>
    </row>
    <row r="35" spans="1:68" x14ac:dyDescent="0.25">
      <c r="B35" s="45" t="s">
        <v>35</v>
      </c>
      <c r="C35" s="41" t="s">
        <v>34</v>
      </c>
      <c r="D35" s="52">
        <v>700</v>
      </c>
      <c r="E35" s="33">
        <f>$K$58</f>
        <v>-108.3695731319762</v>
      </c>
      <c r="F35" s="92">
        <v>-126368.42105263157</v>
      </c>
      <c r="G35" s="39"/>
      <c r="H35" s="162">
        <v>-123.79</v>
      </c>
      <c r="I35" s="39"/>
      <c r="J35" s="35"/>
      <c r="K35" s="36">
        <f t="shared" si="147"/>
        <v>0</v>
      </c>
      <c r="L35" s="37"/>
      <c r="M35" s="38">
        <f>L35*K35</f>
        <v>0</v>
      </c>
      <c r="N35" s="37"/>
      <c r="O35" s="38">
        <f>N35*K35</f>
        <v>0</v>
      </c>
      <c r="P35" s="39"/>
      <c r="Q35" s="35"/>
      <c r="R35" s="36">
        <f t="shared" si="148"/>
        <v>0</v>
      </c>
      <c r="S35" s="37"/>
      <c r="T35" s="38">
        <f>S35*R35</f>
        <v>0</v>
      </c>
      <c r="U35" s="37"/>
      <c r="V35" s="38">
        <f>U35*R35</f>
        <v>0</v>
      </c>
      <c r="W35" s="39"/>
      <c r="X35" s="35">
        <v>0.8</v>
      </c>
      <c r="Y35" s="36">
        <f t="shared" si="149"/>
        <v>-101094.73684210527</v>
      </c>
      <c r="Z35" s="37">
        <v>0.5</v>
      </c>
      <c r="AA35" s="38">
        <f>Z35*Y35</f>
        <v>-50547.368421052633</v>
      </c>
      <c r="AB35" s="37">
        <v>0.5</v>
      </c>
      <c r="AC35" s="38">
        <f>AB35*Y35</f>
        <v>-50547.368421052633</v>
      </c>
      <c r="AD35" s="39"/>
      <c r="AE35" s="35">
        <v>0.2</v>
      </c>
      <c r="AF35" s="36">
        <f t="shared" si="150"/>
        <v>-25273.684210526317</v>
      </c>
      <c r="AG35" s="37">
        <v>0.5</v>
      </c>
      <c r="AH35" s="38">
        <f>AG35*AF35</f>
        <v>-12636.842105263158</v>
      </c>
      <c r="AI35" s="37">
        <v>0.5</v>
      </c>
      <c r="AJ35" s="38">
        <f>AI35*AF35</f>
        <v>-12636.842105263158</v>
      </c>
      <c r="AK35" s="39"/>
      <c r="AL35" s="35"/>
      <c r="AM35" s="36">
        <f t="shared" si="151"/>
        <v>0</v>
      </c>
      <c r="AN35" s="37"/>
      <c r="AO35" s="38">
        <f>AN35*AM35</f>
        <v>0</v>
      </c>
      <c r="AP35" s="37"/>
      <c r="AQ35" s="38">
        <f>AP35*AM35</f>
        <v>0</v>
      </c>
      <c r="AR35" s="39"/>
      <c r="AS35" s="35"/>
      <c r="AT35" s="36">
        <f t="shared" si="152"/>
        <v>0</v>
      </c>
      <c r="AU35" s="37"/>
      <c r="AV35" s="38">
        <f>AU35*AT35</f>
        <v>0</v>
      </c>
      <c r="AW35" s="37"/>
      <c r="AX35" s="38">
        <f>AW35*AT35</f>
        <v>0</v>
      </c>
      <c r="AY35" s="39"/>
      <c r="AZ35" s="35"/>
      <c r="BA35" s="36">
        <f t="shared" si="153"/>
        <v>0</v>
      </c>
      <c r="BB35" s="37"/>
      <c r="BC35" s="38">
        <f>BB35*BA35</f>
        <v>0</v>
      </c>
      <c r="BD35" s="37"/>
      <c r="BE35" s="38">
        <f>BD35*BA35</f>
        <v>0</v>
      </c>
      <c r="BF35" s="39"/>
      <c r="BG35" s="35"/>
      <c r="BH35" s="36">
        <f t="shared" si="154"/>
        <v>0</v>
      </c>
      <c r="BI35" s="37"/>
      <c r="BJ35" s="38">
        <f>BI35*BH35</f>
        <v>0</v>
      </c>
      <c r="BK35" s="37"/>
      <c r="BL35" s="38">
        <f>BK35*BH35</f>
        <v>0</v>
      </c>
      <c r="BM35" s="40">
        <f>F35</f>
        <v>-126368.42105263157</v>
      </c>
      <c r="BN35" s="40">
        <f>K35+R35+Y35+AF35+AM35+AT35+BA35+BH35</f>
        <v>-126368.42105263159</v>
      </c>
      <c r="BO35" s="40" t="e">
        <f>M35+O35+#REF!+#REF!+#REF!+T35+V35+#REF!+#REF!+#REF!+AA35+AC35+#REF!+#REF!+#REF!+AH35+AJ35+#REF!+#REF!+#REF!+AO35+AQ35+#REF!+#REF!+#REF!+AV35+AX35+#REF!+#REF!+#REF!+BC35+BE35+#REF!+#REF!+#REF!+BJ35+BL35+#REF!+#REF!+#REF!</f>
        <v>#REF!</v>
      </c>
      <c r="BP35" s="15" t="e">
        <f>IF(AND(BM35=BN35,BN35=BO35,BM35=BO35),0,1)</f>
        <v>#REF!</v>
      </c>
    </row>
    <row r="36" spans="1:68" x14ac:dyDescent="0.25">
      <c r="B36" s="45"/>
      <c r="C36" s="53"/>
      <c r="D36" s="42"/>
      <c r="E36" s="33"/>
      <c r="F36" s="101"/>
      <c r="G36" s="54"/>
      <c r="H36" s="162">
        <v>0</v>
      </c>
      <c r="I36" s="54"/>
      <c r="J36" s="35"/>
      <c r="K36" s="36"/>
      <c r="L36" s="37"/>
      <c r="M36" s="38"/>
      <c r="N36" s="37"/>
      <c r="O36" s="38"/>
      <c r="P36" s="54"/>
      <c r="Q36" s="55"/>
      <c r="R36" s="36"/>
      <c r="S36" s="56"/>
      <c r="T36" s="38"/>
      <c r="U36" s="56"/>
      <c r="V36" s="38"/>
      <c r="W36" s="54"/>
      <c r="X36" s="55"/>
      <c r="Y36" s="36"/>
      <c r="Z36" s="56"/>
      <c r="AA36" s="38"/>
      <c r="AB36" s="56"/>
      <c r="AC36" s="38"/>
      <c r="AD36" s="54"/>
      <c r="AE36" s="55"/>
      <c r="AF36" s="36"/>
      <c r="AG36" s="56"/>
      <c r="AH36" s="38"/>
      <c r="AI36" s="56"/>
      <c r="AJ36" s="38"/>
      <c r="AK36" s="54"/>
      <c r="AL36" s="55"/>
      <c r="AM36" s="36"/>
      <c r="AN36" s="56"/>
      <c r="AO36" s="38"/>
      <c r="AP36" s="56"/>
      <c r="AQ36" s="38"/>
      <c r="AR36" s="54"/>
      <c r="AS36" s="55"/>
      <c r="AT36" s="36"/>
      <c r="AU36" s="56"/>
      <c r="AV36" s="38"/>
      <c r="AW36" s="56"/>
      <c r="AX36" s="38"/>
      <c r="AY36" s="54"/>
      <c r="AZ36" s="55"/>
      <c r="BA36" s="36"/>
      <c r="BB36" s="56"/>
      <c r="BC36" s="38"/>
      <c r="BD36" s="56"/>
      <c r="BE36" s="38"/>
      <c r="BF36" s="54"/>
      <c r="BG36" s="55"/>
      <c r="BH36" s="36"/>
      <c r="BI36" s="56"/>
      <c r="BJ36" s="38"/>
      <c r="BK36" s="56"/>
      <c r="BL36" s="38"/>
      <c r="BM36" s="40"/>
      <c r="BN36" s="40"/>
      <c r="BO36" s="40"/>
      <c r="BP36" s="15"/>
    </row>
    <row r="37" spans="1:68" x14ac:dyDescent="0.25">
      <c r="A37" s="1" t="s">
        <v>47</v>
      </c>
      <c r="B37" s="43"/>
      <c r="C37" s="53"/>
      <c r="D37" s="52"/>
      <c r="E37" s="33"/>
      <c r="F37" s="33">
        <v>0</v>
      </c>
      <c r="G37" s="54"/>
      <c r="H37" s="162">
        <v>0</v>
      </c>
      <c r="I37" s="54"/>
      <c r="J37" s="35"/>
      <c r="K37" s="36">
        <f t="shared" ref="K37:K40" si="155">J37*$F37</f>
        <v>0</v>
      </c>
      <c r="L37" s="37"/>
      <c r="M37" s="38">
        <f t="shared" ref="M37:M40" si="156">L37*K37</f>
        <v>0</v>
      </c>
      <c r="N37" s="37"/>
      <c r="O37" s="38">
        <f t="shared" ref="O37:O40" si="157">N37*K37</f>
        <v>0</v>
      </c>
      <c r="P37" s="54"/>
      <c r="Q37" s="55"/>
      <c r="R37" s="36">
        <f t="shared" ref="R37:R40" si="158">Q37*$F37</f>
        <v>0</v>
      </c>
      <c r="S37" s="56"/>
      <c r="T37" s="38">
        <f t="shared" ref="T37:T40" si="159">S37*R37</f>
        <v>0</v>
      </c>
      <c r="U37" s="56"/>
      <c r="V37" s="38">
        <f t="shared" ref="V37:V40" si="160">U37*R37</f>
        <v>0</v>
      </c>
      <c r="W37" s="54"/>
      <c r="X37" s="55"/>
      <c r="Y37" s="36">
        <f t="shared" ref="Y37:Y40" si="161">X37*$F37</f>
        <v>0</v>
      </c>
      <c r="Z37" s="56"/>
      <c r="AA37" s="38">
        <f t="shared" ref="AA37:AA40" si="162">Z37*Y37</f>
        <v>0</v>
      </c>
      <c r="AB37" s="56"/>
      <c r="AC37" s="38">
        <f t="shared" ref="AC37:AC40" si="163">AB37*Y37</f>
        <v>0</v>
      </c>
      <c r="AD37" s="54"/>
      <c r="AE37" s="55"/>
      <c r="AF37" s="36">
        <f t="shared" ref="AF37:AF40" si="164">AE37*$F37</f>
        <v>0</v>
      </c>
      <c r="AG37" s="56"/>
      <c r="AH37" s="38">
        <f t="shared" ref="AH37:AH40" si="165">AG37*AF37</f>
        <v>0</v>
      </c>
      <c r="AI37" s="56"/>
      <c r="AJ37" s="38">
        <f t="shared" ref="AJ37:AJ40" si="166">AI37*AF37</f>
        <v>0</v>
      </c>
      <c r="AK37" s="54"/>
      <c r="AL37" s="55"/>
      <c r="AM37" s="36">
        <f t="shared" ref="AM37:AM40" si="167">AL37*$F37</f>
        <v>0</v>
      </c>
      <c r="AN37" s="56"/>
      <c r="AO37" s="38">
        <f t="shared" ref="AO37:AO40" si="168">AN37*AM37</f>
        <v>0</v>
      </c>
      <c r="AP37" s="56"/>
      <c r="AQ37" s="38">
        <f t="shared" ref="AQ37:AQ40" si="169">AP37*AM37</f>
        <v>0</v>
      </c>
      <c r="AR37" s="54"/>
      <c r="AS37" s="55"/>
      <c r="AT37" s="36">
        <f t="shared" ref="AT37:AT40" si="170">AS37*$F37</f>
        <v>0</v>
      </c>
      <c r="AU37" s="56"/>
      <c r="AV37" s="38">
        <f t="shared" ref="AV37:AV40" si="171">AU37*AT37</f>
        <v>0</v>
      </c>
      <c r="AW37" s="56"/>
      <c r="AX37" s="38">
        <f t="shared" ref="AX37:AX40" si="172">AW37*AT37</f>
        <v>0</v>
      </c>
      <c r="AY37" s="54"/>
      <c r="AZ37" s="55"/>
      <c r="BA37" s="36">
        <f t="shared" ref="BA37:BA40" si="173">AZ37*$F37</f>
        <v>0</v>
      </c>
      <c r="BB37" s="56"/>
      <c r="BC37" s="38">
        <f t="shared" ref="BC37:BC40" si="174">BB37*BA37</f>
        <v>0</v>
      </c>
      <c r="BD37" s="56"/>
      <c r="BE37" s="38">
        <f t="shared" ref="BE37:BE40" si="175">BD37*BA37</f>
        <v>0</v>
      </c>
      <c r="BF37" s="54"/>
      <c r="BG37" s="55"/>
      <c r="BH37" s="36">
        <f t="shared" ref="BH37:BH40" si="176">BG37*$F37</f>
        <v>0</v>
      </c>
      <c r="BI37" s="56"/>
      <c r="BJ37" s="38">
        <f t="shared" ref="BJ37:BJ40" si="177">BI37*BH37</f>
        <v>0</v>
      </c>
      <c r="BK37" s="56"/>
      <c r="BL37" s="38">
        <f t="shared" ref="BL37:BL40" si="178">BK37*BH37</f>
        <v>0</v>
      </c>
      <c r="BM37" s="40">
        <f t="shared" ref="BM37:BM43" si="179">F37</f>
        <v>0</v>
      </c>
      <c r="BN37" s="40">
        <f t="shared" ref="BN37:BN43" si="180">K37+R37+Y37+AF37+AM37+AT37+BA37+BH37</f>
        <v>0</v>
      </c>
      <c r="BO37" s="40" t="e">
        <f>M37+O37+#REF!+#REF!+#REF!+T37+V37+#REF!+#REF!+#REF!+AA37+AC37+#REF!+#REF!+#REF!+AH37+AJ37+#REF!+#REF!+#REF!+AO37+AQ37+#REF!+#REF!+#REF!+AV37+AX37+#REF!+#REF!+#REF!+BC37+BE37+#REF!+#REF!+#REF!+BJ37+BL37+#REF!+#REF!+#REF!</f>
        <v>#REF!</v>
      </c>
      <c r="BP37" s="15" t="e">
        <f t="shared" ref="BP37:BP41" si="181">IF(AND(BM37=BN37,BN37=BO37,BM37=BO37),0,1)</f>
        <v>#REF!</v>
      </c>
    </row>
    <row r="38" spans="1:68" x14ac:dyDescent="0.25">
      <c r="B38" s="43" t="s">
        <v>48</v>
      </c>
      <c r="C38" s="53" t="s">
        <v>34</v>
      </c>
      <c r="D38" s="52">
        <v>120</v>
      </c>
      <c r="E38" s="191">
        <f>H38*$K$69</f>
        <v>244.89599999999999</v>
      </c>
      <c r="F38" s="92">
        <v>28800</v>
      </c>
      <c r="G38" s="54"/>
      <c r="H38" s="162">
        <v>240</v>
      </c>
      <c r="I38" s="54"/>
      <c r="J38" s="35"/>
      <c r="K38" s="36">
        <f t="shared" si="155"/>
        <v>0</v>
      </c>
      <c r="L38" s="37"/>
      <c r="M38" s="38">
        <f t="shared" si="156"/>
        <v>0</v>
      </c>
      <c r="N38" s="37"/>
      <c r="O38" s="38">
        <f t="shared" si="157"/>
        <v>0</v>
      </c>
      <c r="P38" s="54"/>
      <c r="Q38" s="55"/>
      <c r="R38" s="36">
        <f t="shared" si="158"/>
        <v>0</v>
      </c>
      <c r="S38" s="56"/>
      <c r="T38" s="38">
        <f t="shared" si="159"/>
        <v>0</v>
      </c>
      <c r="U38" s="56"/>
      <c r="V38" s="38">
        <f t="shared" si="160"/>
        <v>0</v>
      </c>
      <c r="W38" s="54"/>
      <c r="X38" s="55">
        <v>0.6</v>
      </c>
      <c r="Y38" s="36">
        <f t="shared" si="161"/>
        <v>17280</v>
      </c>
      <c r="Z38" s="56">
        <v>0.5</v>
      </c>
      <c r="AA38" s="38">
        <f t="shared" si="162"/>
        <v>8640</v>
      </c>
      <c r="AB38" s="56">
        <v>0.5</v>
      </c>
      <c r="AC38" s="38">
        <f t="shared" si="163"/>
        <v>8640</v>
      </c>
      <c r="AD38" s="54"/>
      <c r="AE38" s="55">
        <v>0.2</v>
      </c>
      <c r="AF38" s="36">
        <f t="shared" si="164"/>
        <v>5760</v>
      </c>
      <c r="AG38" s="56">
        <v>0.5</v>
      </c>
      <c r="AH38" s="38">
        <f t="shared" si="165"/>
        <v>2880</v>
      </c>
      <c r="AI38" s="56">
        <v>0.5</v>
      </c>
      <c r="AJ38" s="38">
        <f t="shared" si="166"/>
        <v>2880</v>
      </c>
      <c r="AK38" s="54"/>
      <c r="AL38" s="55">
        <v>0.15</v>
      </c>
      <c r="AM38" s="36">
        <f t="shared" si="167"/>
        <v>4320</v>
      </c>
      <c r="AN38" s="56">
        <v>0.5</v>
      </c>
      <c r="AO38" s="38">
        <f t="shared" si="168"/>
        <v>2160</v>
      </c>
      <c r="AP38" s="56">
        <v>0.5</v>
      </c>
      <c r="AQ38" s="38">
        <f t="shared" si="169"/>
        <v>2160</v>
      </c>
      <c r="AR38" s="54"/>
      <c r="AS38" s="55">
        <v>0.05</v>
      </c>
      <c r="AT38" s="36">
        <f t="shared" si="170"/>
        <v>1440</v>
      </c>
      <c r="AU38" s="56">
        <v>0.5</v>
      </c>
      <c r="AV38" s="38">
        <f t="shared" si="171"/>
        <v>720</v>
      </c>
      <c r="AW38" s="56">
        <v>0.5</v>
      </c>
      <c r="AX38" s="38">
        <f t="shared" si="172"/>
        <v>720</v>
      </c>
      <c r="AY38" s="54"/>
      <c r="AZ38" s="55"/>
      <c r="BA38" s="36">
        <f t="shared" si="173"/>
        <v>0</v>
      </c>
      <c r="BB38" s="56"/>
      <c r="BC38" s="38">
        <f t="shared" si="174"/>
        <v>0</v>
      </c>
      <c r="BD38" s="56"/>
      <c r="BE38" s="38">
        <f t="shared" si="175"/>
        <v>0</v>
      </c>
      <c r="BF38" s="54"/>
      <c r="BG38" s="55"/>
      <c r="BH38" s="36">
        <f t="shared" si="176"/>
        <v>0</v>
      </c>
      <c r="BI38" s="56"/>
      <c r="BJ38" s="38">
        <f t="shared" si="177"/>
        <v>0</v>
      </c>
      <c r="BK38" s="56"/>
      <c r="BL38" s="38">
        <f t="shared" si="178"/>
        <v>0</v>
      </c>
      <c r="BM38" s="40">
        <f t="shared" si="179"/>
        <v>28800</v>
      </c>
      <c r="BN38" s="40">
        <f t="shared" si="180"/>
        <v>28800</v>
      </c>
      <c r="BO38" s="40" t="e">
        <f>M38+O38+#REF!+#REF!+#REF!+T38+V38+#REF!+#REF!+#REF!+AA38+AC38+#REF!+#REF!+#REF!+AH38+AJ38+#REF!+#REF!+#REF!+AO38+AQ38+#REF!+#REF!+#REF!+AV38+AX38+#REF!+#REF!+#REF!+BC38+BE38+#REF!+#REF!+#REF!+BJ38+BL38+#REF!+#REF!+#REF!</f>
        <v>#REF!</v>
      </c>
      <c r="BP38" s="15" t="e">
        <f t="shared" si="181"/>
        <v>#REF!</v>
      </c>
    </row>
    <row r="39" spans="1:68" x14ac:dyDescent="0.25">
      <c r="B39" s="43" t="s">
        <v>49</v>
      </c>
      <c r="C39" s="53" t="s">
        <v>34</v>
      </c>
      <c r="D39" s="52">
        <v>120</v>
      </c>
      <c r="E39" s="33">
        <f>$K$58</f>
        <v>-108.3695731319762</v>
      </c>
      <c r="F39" s="92">
        <v>-21663.15789473684</v>
      </c>
      <c r="G39" s="54"/>
      <c r="H39" s="162">
        <v>-123.79</v>
      </c>
      <c r="I39" s="54"/>
      <c r="J39" s="35"/>
      <c r="K39" s="36">
        <f t="shared" si="155"/>
        <v>0</v>
      </c>
      <c r="L39" s="37"/>
      <c r="M39" s="38">
        <f t="shared" si="156"/>
        <v>0</v>
      </c>
      <c r="N39" s="37"/>
      <c r="O39" s="38">
        <f t="shared" si="157"/>
        <v>0</v>
      </c>
      <c r="P39" s="54"/>
      <c r="Q39" s="55"/>
      <c r="R39" s="36">
        <f t="shared" si="158"/>
        <v>0</v>
      </c>
      <c r="S39" s="56"/>
      <c r="T39" s="38">
        <f t="shared" si="159"/>
        <v>0</v>
      </c>
      <c r="U39" s="56"/>
      <c r="V39" s="38">
        <f t="shared" si="160"/>
        <v>0</v>
      </c>
      <c r="W39" s="54"/>
      <c r="X39" s="55">
        <v>0.6</v>
      </c>
      <c r="Y39" s="36">
        <f t="shared" si="161"/>
        <v>-12997.894736842103</v>
      </c>
      <c r="Z39" s="56">
        <v>0.5</v>
      </c>
      <c r="AA39" s="38">
        <f t="shared" si="162"/>
        <v>-6498.9473684210516</v>
      </c>
      <c r="AB39" s="56">
        <v>0.5</v>
      </c>
      <c r="AC39" s="38">
        <f t="shared" si="163"/>
        <v>-6498.9473684210516</v>
      </c>
      <c r="AD39" s="54"/>
      <c r="AE39" s="55">
        <v>0.25</v>
      </c>
      <c r="AF39" s="36">
        <f t="shared" si="164"/>
        <v>-5415.78947368421</v>
      </c>
      <c r="AG39" s="56">
        <v>0.5</v>
      </c>
      <c r="AH39" s="38">
        <f t="shared" si="165"/>
        <v>-2707.894736842105</v>
      </c>
      <c r="AI39" s="56">
        <v>0.5</v>
      </c>
      <c r="AJ39" s="38">
        <f t="shared" si="166"/>
        <v>-2707.894736842105</v>
      </c>
      <c r="AK39" s="54"/>
      <c r="AL39" s="55">
        <v>0.15</v>
      </c>
      <c r="AM39" s="36">
        <f t="shared" si="167"/>
        <v>-3249.4736842105258</v>
      </c>
      <c r="AN39" s="56">
        <v>0.5</v>
      </c>
      <c r="AO39" s="38">
        <f t="shared" si="168"/>
        <v>-1624.7368421052629</v>
      </c>
      <c r="AP39" s="56">
        <v>0.5</v>
      </c>
      <c r="AQ39" s="38">
        <f t="shared" si="169"/>
        <v>-1624.7368421052629</v>
      </c>
      <c r="AR39" s="54"/>
      <c r="AS39" s="55"/>
      <c r="AT39" s="36">
        <f t="shared" si="170"/>
        <v>0</v>
      </c>
      <c r="AU39" s="56"/>
      <c r="AV39" s="38">
        <f t="shared" si="171"/>
        <v>0</v>
      </c>
      <c r="AW39" s="56"/>
      <c r="AX39" s="38">
        <f t="shared" si="172"/>
        <v>0</v>
      </c>
      <c r="AY39" s="54"/>
      <c r="AZ39" s="55"/>
      <c r="BA39" s="36">
        <f t="shared" si="173"/>
        <v>0</v>
      </c>
      <c r="BB39" s="56"/>
      <c r="BC39" s="38">
        <f t="shared" si="174"/>
        <v>0</v>
      </c>
      <c r="BD39" s="56"/>
      <c r="BE39" s="38">
        <f t="shared" si="175"/>
        <v>0</v>
      </c>
      <c r="BF39" s="54"/>
      <c r="BG39" s="55"/>
      <c r="BH39" s="36">
        <f t="shared" si="176"/>
        <v>0</v>
      </c>
      <c r="BI39" s="56"/>
      <c r="BJ39" s="38">
        <f t="shared" si="177"/>
        <v>0</v>
      </c>
      <c r="BK39" s="56"/>
      <c r="BL39" s="38">
        <f t="shared" si="178"/>
        <v>0</v>
      </c>
      <c r="BM39" s="40">
        <f t="shared" si="179"/>
        <v>-21663.15789473684</v>
      </c>
      <c r="BN39" s="40">
        <f t="shared" si="180"/>
        <v>-21663.15789473684</v>
      </c>
      <c r="BO39" s="40" t="e">
        <f>M39+O39+#REF!+#REF!+#REF!+T39+V39+#REF!+#REF!+#REF!+AA39+AC39+#REF!+#REF!+#REF!+AH39+AJ39+#REF!+#REF!+#REF!+AO39+AQ39+#REF!+#REF!+#REF!+AV39+AX39+#REF!+#REF!+#REF!+BC39+BE39+#REF!+#REF!+#REF!+BJ39+BL39+#REF!+#REF!+#REF!</f>
        <v>#REF!</v>
      </c>
      <c r="BP39" s="15" t="e">
        <f t="shared" si="181"/>
        <v>#REF!</v>
      </c>
    </row>
    <row r="40" spans="1:68" x14ac:dyDescent="0.25">
      <c r="B40" s="50" t="s">
        <v>42</v>
      </c>
      <c r="C40" s="53" t="s">
        <v>34</v>
      </c>
      <c r="D40" s="52">
        <v>23</v>
      </c>
      <c r="E40" s="191">
        <f>H40*$K$69</f>
        <v>66.325999999999993</v>
      </c>
      <c r="F40" s="92">
        <v>1495</v>
      </c>
      <c r="G40" s="54"/>
      <c r="H40" s="162">
        <v>65</v>
      </c>
      <c r="I40" s="54"/>
      <c r="J40" s="35"/>
      <c r="K40" s="36">
        <f t="shared" si="155"/>
        <v>0</v>
      </c>
      <c r="L40" s="37"/>
      <c r="M40" s="38">
        <f t="shared" si="156"/>
        <v>0</v>
      </c>
      <c r="N40" s="37"/>
      <c r="O40" s="38">
        <f t="shared" si="157"/>
        <v>0</v>
      </c>
      <c r="P40" s="54"/>
      <c r="Q40" s="55">
        <v>0.14285714285714288</v>
      </c>
      <c r="R40" s="36">
        <f t="shared" si="158"/>
        <v>213.57142857142861</v>
      </c>
      <c r="S40" s="56">
        <v>0.5</v>
      </c>
      <c r="T40" s="38">
        <f t="shared" si="159"/>
        <v>106.78571428571431</v>
      </c>
      <c r="U40" s="56">
        <v>0.5</v>
      </c>
      <c r="V40" s="38">
        <f t="shared" si="160"/>
        <v>106.78571428571431</v>
      </c>
      <c r="W40" s="54"/>
      <c r="X40" s="55">
        <v>0.14285714285714288</v>
      </c>
      <c r="Y40" s="36">
        <f t="shared" si="161"/>
        <v>213.57142857142861</v>
      </c>
      <c r="Z40" s="56">
        <v>0.5</v>
      </c>
      <c r="AA40" s="38">
        <f t="shared" si="162"/>
        <v>106.78571428571431</v>
      </c>
      <c r="AB40" s="56">
        <v>0.5</v>
      </c>
      <c r="AC40" s="38">
        <f t="shared" si="163"/>
        <v>106.78571428571431</v>
      </c>
      <c r="AD40" s="54"/>
      <c r="AE40" s="55">
        <v>0.14285714285714288</v>
      </c>
      <c r="AF40" s="36">
        <f t="shared" si="164"/>
        <v>213.57142857142861</v>
      </c>
      <c r="AG40" s="56">
        <v>0.5</v>
      </c>
      <c r="AH40" s="38">
        <f t="shared" si="165"/>
        <v>106.78571428571431</v>
      </c>
      <c r="AI40" s="56">
        <v>0.5</v>
      </c>
      <c r="AJ40" s="38">
        <f t="shared" si="166"/>
        <v>106.78571428571431</v>
      </c>
      <c r="AK40" s="54"/>
      <c r="AL40" s="55">
        <v>0.14285714285714288</v>
      </c>
      <c r="AM40" s="36">
        <f t="shared" si="167"/>
        <v>213.57142857142861</v>
      </c>
      <c r="AN40" s="56">
        <v>0.5</v>
      </c>
      <c r="AO40" s="38">
        <f t="shared" si="168"/>
        <v>106.78571428571431</v>
      </c>
      <c r="AP40" s="56">
        <v>0.5</v>
      </c>
      <c r="AQ40" s="38">
        <f t="shared" si="169"/>
        <v>106.78571428571431</v>
      </c>
      <c r="AR40" s="54"/>
      <c r="AS40" s="55">
        <v>0.14285714285714288</v>
      </c>
      <c r="AT40" s="36">
        <f t="shared" si="170"/>
        <v>213.57142857142861</v>
      </c>
      <c r="AU40" s="56">
        <v>0.5</v>
      </c>
      <c r="AV40" s="38">
        <f t="shared" si="171"/>
        <v>106.78571428571431</v>
      </c>
      <c r="AW40" s="56">
        <v>0.5</v>
      </c>
      <c r="AX40" s="38">
        <f t="shared" si="172"/>
        <v>106.78571428571431</v>
      </c>
      <c r="AY40" s="54"/>
      <c r="AZ40" s="55">
        <v>0.14285714285714288</v>
      </c>
      <c r="BA40" s="36">
        <f t="shared" si="173"/>
        <v>213.57142857142861</v>
      </c>
      <c r="BB40" s="56">
        <v>0.5</v>
      </c>
      <c r="BC40" s="38">
        <f t="shared" si="174"/>
        <v>106.78571428571431</v>
      </c>
      <c r="BD40" s="56">
        <v>0.5</v>
      </c>
      <c r="BE40" s="38">
        <f t="shared" si="175"/>
        <v>106.78571428571431</v>
      </c>
      <c r="BF40" s="54"/>
      <c r="BG40" s="55">
        <v>0.14285714285714288</v>
      </c>
      <c r="BH40" s="36">
        <f t="shared" si="176"/>
        <v>213.57142857142861</v>
      </c>
      <c r="BI40" s="56">
        <v>0.5</v>
      </c>
      <c r="BJ40" s="38">
        <f t="shared" si="177"/>
        <v>106.78571428571431</v>
      </c>
      <c r="BK40" s="56">
        <v>0.5</v>
      </c>
      <c r="BL40" s="38">
        <f t="shared" si="178"/>
        <v>106.78571428571431</v>
      </c>
      <c r="BM40" s="40">
        <f t="shared" si="179"/>
        <v>1495</v>
      </c>
      <c r="BN40" s="40">
        <f t="shared" si="180"/>
        <v>1495.0000000000005</v>
      </c>
      <c r="BO40" s="40" t="e">
        <f>M40+O40+#REF!+#REF!+#REF!+T40+V40+#REF!+#REF!+#REF!+AA40+AC40+#REF!+#REF!+#REF!+AH40+AJ40+#REF!+#REF!+#REF!+AO40+AQ40+#REF!+#REF!+#REF!+AV40+AX40+#REF!+#REF!+#REF!+BC40+BE40+#REF!+#REF!+#REF!+BJ40+BL40+#REF!+#REF!+#REF!</f>
        <v>#REF!</v>
      </c>
      <c r="BP40" s="15" t="e">
        <f t="shared" si="181"/>
        <v>#REF!</v>
      </c>
    </row>
    <row r="41" spans="1:68" x14ac:dyDescent="0.25">
      <c r="B41" s="43"/>
      <c r="C41" s="53"/>
      <c r="D41" s="42"/>
      <c r="E41" s="33"/>
      <c r="F41" s="33"/>
      <c r="G41" s="54"/>
      <c r="H41" s="162">
        <v>0</v>
      </c>
      <c r="I41" s="54"/>
      <c r="J41" s="35"/>
      <c r="K41" s="36">
        <f t="shared" ref="K41" si="182">J41*$F41</f>
        <v>0</v>
      </c>
      <c r="L41" s="37"/>
      <c r="M41" s="38">
        <f t="shared" ref="M41" si="183">L41*K41</f>
        <v>0</v>
      </c>
      <c r="N41" s="37"/>
      <c r="O41" s="38">
        <f t="shared" ref="O41" si="184">N41*K41</f>
        <v>0</v>
      </c>
      <c r="P41" s="54"/>
      <c r="Q41" s="55"/>
      <c r="R41" s="36">
        <f t="shared" ref="R41" si="185">Q41*$F41</f>
        <v>0</v>
      </c>
      <c r="S41" s="56"/>
      <c r="T41" s="38">
        <f t="shared" ref="T41" si="186">S41*R41</f>
        <v>0</v>
      </c>
      <c r="U41" s="56"/>
      <c r="V41" s="38">
        <f t="shared" ref="V41" si="187">U41*R41</f>
        <v>0</v>
      </c>
      <c r="W41" s="54"/>
      <c r="X41" s="55"/>
      <c r="Y41" s="36">
        <f t="shared" ref="Y41" si="188">X41*$F41</f>
        <v>0</v>
      </c>
      <c r="Z41" s="56"/>
      <c r="AA41" s="38">
        <f t="shared" ref="AA41" si="189">Z41*Y41</f>
        <v>0</v>
      </c>
      <c r="AB41" s="56"/>
      <c r="AC41" s="38">
        <f t="shared" ref="AC41" si="190">AB41*Y41</f>
        <v>0</v>
      </c>
      <c r="AD41" s="54"/>
      <c r="AE41" s="55"/>
      <c r="AF41" s="36">
        <f t="shared" ref="AF41" si="191">AE41*$F41</f>
        <v>0</v>
      </c>
      <c r="AG41" s="56"/>
      <c r="AH41" s="38">
        <f t="shared" ref="AH41" si="192">AG41*AF41</f>
        <v>0</v>
      </c>
      <c r="AI41" s="56"/>
      <c r="AJ41" s="38">
        <f t="shared" ref="AJ41" si="193">AI41*AF41</f>
        <v>0</v>
      </c>
      <c r="AK41" s="54"/>
      <c r="AL41" s="55"/>
      <c r="AM41" s="36">
        <f t="shared" ref="AM41" si="194">AL41*$F41</f>
        <v>0</v>
      </c>
      <c r="AN41" s="56"/>
      <c r="AO41" s="38">
        <f t="shared" ref="AO41" si="195">AN41*AM41</f>
        <v>0</v>
      </c>
      <c r="AP41" s="56"/>
      <c r="AQ41" s="38">
        <f t="shared" ref="AQ41" si="196">AP41*AM41</f>
        <v>0</v>
      </c>
      <c r="AR41" s="54"/>
      <c r="AS41" s="55"/>
      <c r="AT41" s="36">
        <f t="shared" ref="AT41" si="197">AS41*$F41</f>
        <v>0</v>
      </c>
      <c r="AU41" s="56"/>
      <c r="AV41" s="38">
        <f t="shared" ref="AV41" si="198">AU41*AT41</f>
        <v>0</v>
      </c>
      <c r="AW41" s="56"/>
      <c r="AX41" s="38">
        <f t="shared" ref="AX41" si="199">AW41*AT41</f>
        <v>0</v>
      </c>
      <c r="AY41" s="54"/>
      <c r="AZ41" s="55"/>
      <c r="BA41" s="36">
        <f t="shared" ref="BA41" si="200">AZ41*$F41</f>
        <v>0</v>
      </c>
      <c r="BB41" s="56"/>
      <c r="BC41" s="38">
        <f t="shared" ref="BC41" si="201">BB41*BA41</f>
        <v>0</v>
      </c>
      <c r="BD41" s="56"/>
      <c r="BE41" s="38">
        <f t="shared" ref="BE41" si="202">BD41*BA41</f>
        <v>0</v>
      </c>
      <c r="BF41" s="54"/>
      <c r="BG41" s="55"/>
      <c r="BH41" s="36">
        <f t="shared" ref="BH41" si="203">BG41*$F41</f>
        <v>0</v>
      </c>
      <c r="BI41" s="56"/>
      <c r="BJ41" s="38">
        <f t="shared" ref="BJ41" si="204">BI41*BH41</f>
        <v>0</v>
      </c>
      <c r="BK41" s="56"/>
      <c r="BL41" s="38">
        <f t="shared" ref="BL41" si="205">BK41*BH41</f>
        <v>0</v>
      </c>
      <c r="BM41" s="40">
        <f t="shared" si="179"/>
        <v>0</v>
      </c>
      <c r="BN41" s="40">
        <f t="shared" si="180"/>
        <v>0</v>
      </c>
      <c r="BO41" s="40" t="e">
        <f>M41+O41+#REF!+#REF!+#REF!+T41+V41+#REF!+#REF!+#REF!+AA41+AC41+#REF!+#REF!+#REF!+AH41+AJ41+#REF!+#REF!+#REF!+AO41+AQ41+#REF!+#REF!+#REF!+AV41+AX41+#REF!+#REF!+#REF!+BC41+BE41+#REF!+#REF!+#REF!+BJ41+BL41+#REF!+#REF!+#REF!</f>
        <v>#REF!</v>
      </c>
      <c r="BP41" s="15" t="e">
        <f t="shared" si="181"/>
        <v>#REF!</v>
      </c>
    </row>
    <row r="42" spans="1:68" x14ac:dyDescent="0.25">
      <c r="B42" s="57" t="s">
        <v>0</v>
      </c>
      <c r="C42" s="58"/>
      <c r="D42" s="59"/>
      <c r="E42" s="60"/>
      <c r="F42" s="61">
        <f>SUM(F4:F41)</f>
        <v>2627345.8472611126</v>
      </c>
      <c r="G42" s="61">
        <f>SUM(G4:G41)</f>
        <v>0</v>
      </c>
      <c r="H42" s="162">
        <v>0</v>
      </c>
      <c r="I42" s="61"/>
      <c r="J42" s="61"/>
      <c r="K42" s="61">
        <f>SUM(K4:K41)</f>
        <v>223750</v>
      </c>
      <c r="L42" s="61"/>
      <c r="M42" s="61">
        <f>SUM(M4:M41)</f>
        <v>111875</v>
      </c>
      <c r="N42" s="61"/>
      <c r="O42" s="61">
        <f>SUM(O4:O41)</f>
        <v>111875</v>
      </c>
      <c r="P42" s="61">
        <f>SUM(P4:P41)</f>
        <v>0</v>
      </c>
      <c r="Q42" s="61"/>
      <c r="R42" s="61">
        <f>SUM(R4:R41)</f>
        <v>1613748.2246420635</v>
      </c>
      <c r="S42" s="61"/>
      <c r="T42" s="61">
        <f>SUM(T4:T41)</f>
        <v>806874.11232103175</v>
      </c>
      <c r="U42" s="61"/>
      <c r="V42" s="61">
        <f>SUM(V4:V41)</f>
        <v>806874.11232103175</v>
      </c>
      <c r="W42" s="61">
        <f>SUM(W4:W41)</f>
        <v>0</v>
      </c>
      <c r="X42" s="61"/>
      <c r="Y42" s="61">
        <f>SUM(Y4:Y41)</f>
        <v>476815.9903602394</v>
      </c>
      <c r="Z42" s="61"/>
      <c r="AA42" s="61">
        <f>SUM(AA4:AA41)</f>
        <v>238407.9951801197</v>
      </c>
      <c r="AB42" s="61"/>
      <c r="AC42" s="61">
        <f>SUM(AC4:AC41)</f>
        <v>238407.9951801197</v>
      </c>
      <c r="AD42" s="61">
        <f>SUM(AD4:AD41)</f>
        <v>0</v>
      </c>
      <c r="AE42" s="61"/>
      <c r="AF42" s="61">
        <f>SUM(AF4:AF41)</f>
        <v>77686.931447149487</v>
      </c>
      <c r="AG42" s="61"/>
      <c r="AH42" s="61">
        <f>SUM(AH4:AH41)</f>
        <v>38843.465723574744</v>
      </c>
      <c r="AI42" s="61"/>
      <c r="AJ42" s="61">
        <f>SUM(AJ4:AJ41)</f>
        <v>38843.465723574744</v>
      </c>
      <c r="AK42" s="61">
        <f>SUM(AK4:AK41)</f>
        <v>0</v>
      </c>
      <c r="AL42" s="61"/>
      <c r="AM42" s="61">
        <f>SUM(AM4:AM41)</f>
        <v>164423.2947265782</v>
      </c>
      <c r="AN42" s="61"/>
      <c r="AO42" s="61">
        <f>SUM(AO4:AO41)</f>
        <v>82211.647363289099</v>
      </c>
      <c r="AP42" s="61"/>
      <c r="AQ42" s="61">
        <f>SUM(AQ4:AQ41)</f>
        <v>82211.647363289099</v>
      </c>
      <c r="AR42" s="61">
        <f>SUM(AR4:AR41)</f>
        <v>0</v>
      </c>
      <c r="AS42" s="61"/>
      <c r="AT42" s="61">
        <f>SUM(AT4:AT41)</f>
        <v>11277.341132347248</v>
      </c>
      <c r="AU42" s="61"/>
      <c r="AV42" s="61">
        <f>SUM(AV4:AV41)</f>
        <v>5638.6705661736241</v>
      </c>
      <c r="AW42" s="61"/>
      <c r="AX42" s="61">
        <f>SUM(AX4:AX41)</f>
        <v>5638.6705661736241</v>
      </c>
      <c r="AY42" s="61">
        <f>SUM(AY4:AY41)</f>
        <v>0</v>
      </c>
      <c r="AZ42" s="61"/>
      <c r="BA42" s="61">
        <f>SUM(BA4:BA41)</f>
        <v>21630.446864285714</v>
      </c>
      <c r="BB42" s="61"/>
      <c r="BC42" s="61">
        <f>SUM(BC4:BC41)</f>
        <v>10815.223432142857</v>
      </c>
      <c r="BD42" s="61"/>
      <c r="BE42" s="61">
        <f>SUM(BE4:BE41)</f>
        <v>10815.223432142857</v>
      </c>
      <c r="BF42" s="61">
        <f>SUM(BF4:BF41)</f>
        <v>0</v>
      </c>
      <c r="BG42" s="61"/>
      <c r="BH42" s="61">
        <f>SUM(BH4:BH41)</f>
        <v>21630.446864285714</v>
      </c>
      <c r="BI42" s="61"/>
      <c r="BJ42" s="61">
        <f>SUM(BJ4:BJ41)</f>
        <v>10815.223432142857</v>
      </c>
      <c r="BK42" s="61"/>
      <c r="BL42" s="61">
        <f>SUM(BL4:BL41)</f>
        <v>10815.223432142857</v>
      </c>
      <c r="BM42" s="40">
        <f t="shared" si="179"/>
        <v>2627345.8472611126</v>
      </c>
      <c r="BN42" s="40">
        <f t="shared" si="180"/>
        <v>2610962.6760369488</v>
      </c>
      <c r="BO42" s="40" t="e">
        <f>M42+O42+#REF!+#REF!+#REF!+T42+V42+#REF!+#REF!+#REF!+AA42+AC42+#REF!+#REF!+#REF!+AH42+AJ42+#REF!+#REF!+#REF!+AO42+AQ42+#REF!+#REF!+#REF!+AV42+AX42+#REF!+#REF!+#REF!+BC42+BE42+#REF!+#REF!+#REF!+BJ42+BL42+#REF!+#REF!+#REF!</f>
        <v>#REF!</v>
      </c>
      <c r="BP42" s="15"/>
    </row>
    <row r="43" spans="1:68" x14ac:dyDescent="0.25">
      <c r="H43" s="162">
        <v>0</v>
      </c>
      <c r="K43" s="36">
        <f>J43*F43</f>
        <v>0</v>
      </c>
      <c r="BM43" s="40">
        <f t="shared" si="179"/>
        <v>0</v>
      </c>
      <c r="BN43" s="40">
        <f t="shared" si="180"/>
        <v>0</v>
      </c>
      <c r="BO43" s="40" t="e">
        <f>M43+O43+#REF!+#REF!+#REF!+T43+V43+#REF!+#REF!+#REF!+AA43+AC43+#REF!+#REF!+#REF!+AH43+AJ43+#REF!+#REF!+#REF!+AO43+AQ43+#REF!+#REF!+#REF!+AV43+AX43+#REF!+#REF!+#REF!+BC43+BE43+#REF!+#REF!+#REF!+BJ43+BL43+#REF!+#REF!+#REF!</f>
        <v>#REF!</v>
      </c>
      <c r="BP43" s="15" t="e">
        <f t="shared" si="27"/>
        <v>#REF!</v>
      </c>
    </row>
    <row r="44" spans="1:68" x14ac:dyDescent="0.25">
      <c r="H44" s="162">
        <v>0</v>
      </c>
      <c r="K44" s="36">
        <f>J44*F44</f>
        <v>0</v>
      </c>
      <c r="BM44" s="40" t="e">
        <f>POWER((BM42-BN42),10000)</f>
        <v>#NUM!</v>
      </c>
      <c r="BN44" s="40" t="e">
        <f>POWER((BN42-BO42),10000)</f>
        <v>#REF!</v>
      </c>
      <c r="BO44" s="40"/>
      <c r="BP44" s="15"/>
    </row>
    <row r="45" spans="1:68" x14ac:dyDescent="0.25">
      <c r="H45" s="162">
        <v>0</v>
      </c>
      <c r="K45" s="36">
        <f>J45*F45</f>
        <v>0</v>
      </c>
      <c r="BM45" s="40">
        <f>F45</f>
        <v>0</v>
      </c>
      <c r="BN45" s="40">
        <f>K45+R45+Y45+AF45+AM45+AT45+BA45+BH45</f>
        <v>0</v>
      </c>
      <c r="BO45" s="40" t="e">
        <f>M45+O45+#REF!+#REF!+#REF!+T45+V45+#REF!+#REF!+#REF!+AA45+AC45+#REF!+#REF!+#REF!+AH45+AJ45+#REF!+#REF!+#REF!+AO45+AQ45+#REF!+#REF!+#REF!+AV45+AX45+#REF!+#REF!+#REF!+BC45+BE45+#REF!+#REF!+#REF!+BJ45+BL45+#REF!+#REF!+#REF!</f>
        <v>#REF!</v>
      </c>
      <c r="BP45" s="15" t="e">
        <f t="shared" si="27"/>
        <v>#REF!</v>
      </c>
    </row>
    <row r="46" spans="1:68" x14ac:dyDescent="0.25">
      <c r="B46" s="47" t="s">
        <v>50</v>
      </c>
      <c r="C46" s="41" t="s">
        <v>34</v>
      </c>
      <c r="D46" s="42">
        <f>F46/E46</f>
        <v>10616.751600679472</v>
      </c>
      <c r="E46" s="191">
        <f>H46*$K$69</f>
        <v>6.1223999999999998</v>
      </c>
      <c r="F46" s="92">
        <v>65000</v>
      </c>
      <c r="G46" s="39"/>
      <c r="H46" s="162">
        <v>6</v>
      </c>
      <c r="I46" s="39"/>
      <c r="J46" s="35"/>
      <c r="K46" s="36">
        <f t="shared" ref="K46" si="206">J46*$F46</f>
        <v>0</v>
      </c>
      <c r="L46" s="37"/>
      <c r="M46" s="38">
        <f t="shared" ref="M46" si="207">L46*K46</f>
        <v>0</v>
      </c>
      <c r="N46" s="37"/>
      <c r="O46" s="38">
        <f t="shared" ref="O46" si="208">N46*K46</f>
        <v>0</v>
      </c>
      <c r="P46" s="39"/>
      <c r="Q46" s="35"/>
      <c r="R46" s="36">
        <f t="shared" ref="R46" si="209">Q46*$F46</f>
        <v>0</v>
      </c>
      <c r="S46" s="37"/>
      <c r="T46" s="38">
        <f t="shared" ref="T46" si="210">S46*R46</f>
        <v>0</v>
      </c>
      <c r="U46" s="37"/>
      <c r="V46" s="38">
        <f t="shared" ref="V46" si="211">U46*R46</f>
        <v>0</v>
      </c>
      <c r="W46" s="39"/>
      <c r="X46" s="35"/>
      <c r="Y46" s="36">
        <f t="shared" ref="Y46" si="212">X46*$F46</f>
        <v>0</v>
      </c>
      <c r="Z46" s="37"/>
      <c r="AA46" s="38">
        <f t="shared" ref="AA46" si="213">Z46*Y46</f>
        <v>0</v>
      </c>
      <c r="AB46" s="37"/>
      <c r="AC46" s="38">
        <f t="shared" ref="AC46" si="214">AB46*Y46</f>
        <v>0</v>
      </c>
      <c r="AD46" s="39"/>
      <c r="AE46" s="35">
        <v>1</v>
      </c>
      <c r="AF46" s="36">
        <f t="shared" ref="AF46" si="215">AE46*$F46</f>
        <v>65000</v>
      </c>
      <c r="AG46" s="37">
        <v>0.5</v>
      </c>
      <c r="AH46" s="38">
        <f t="shared" ref="AH46" si="216">AG46*AF46</f>
        <v>32500</v>
      </c>
      <c r="AI46" s="37">
        <v>0.5</v>
      </c>
      <c r="AJ46" s="38">
        <f t="shared" ref="AJ46" si="217">AI46*AF46</f>
        <v>32500</v>
      </c>
      <c r="AK46" s="39"/>
      <c r="AL46" s="35"/>
      <c r="AM46" s="36">
        <f t="shared" ref="AM46" si="218">AL46*$F46</f>
        <v>0</v>
      </c>
      <c r="AN46" s="37"/>
      <c r="AO46" s="38">
        <f t="shared" ref="AO46" si="219">AN46*AM46</f>
        <v>0</v>
      </c>
      <c r="AP46" s="37"/>
      <c r="AQ46" s="38">
        <f t="shared" ref="AQ46" si="220">AP46*AM46</f>
        <v>0</v>
      </c>
      <c r="AR46" s="39"/>
      <c r="AS46" s="35"/>
      <c r="AT46" s="36">
        <f t="shared" ref="AT46" si="221">AS46*$F46</f>
        <v>0</v>
      </c>
      <c r="AU46" s="37"/>
      <c r="AV46" s="38">
        <f t="shared" ref="AV46" si="222">AU46*AT46</f>
        <v>0</v>
      </c>
      <c r="AW46" s="37"/>
      <c r="AX46" s="38">
        <f t="shared" ref="AX46" si="223">AW46*AT46</f>
        <v>0</v>
      </c>
      <c r="AY46" s="39"/>
      <c r="AZ46" s="35"/>
      <c r="BA46" s="36">
        <f t="shared" ref="BA46" si="224">AZ46*$F46</f>
        <v>0</v>
      </c>
      <c r="BB46" s="37"/>
      <c r="BC46" s="38">
        <f t="shared" ref="BC46" si="225">BB46*BA46</f>
        <v>0</v>
      </c>
      <c r="BD46" s="37"/>
      <c r="BE46" s="38">
        <f t="shared" ref="BE46" si="226">BD46*BA46</f>
        <v>0</v>
      </c>
      <c r="BF46" s="39"/>
      <c r="BG46" s="35"/>
      <c r="BH46" s="36">
        <f t="shared" ref="BH46" si="227">BG46*$F46</f>
        <v>0</v>
      </c>
      <c r="BI46" s="37"/>
      <c r="BJ46" s="38">
        <f t="shared" ref="BJ46" si="228">BI46*BH46</f>
        <v>0</v>
      </c>
      <c r="BK46" s="37"/>
      <c r="BL46" s="38">
        <f t="shared" ref="BL46" si="229">BK46*BH46</f>
        <v>0</v>
      </c>
      <c r="BM46" s="40">
        <f t="shared" ref="BM46" si="230">F46</f>
        <v>65000</v>
      </c>
      <c r="BN46" s="40">
        <f t="shared" ref="BN46" si="231">K46+R46+Y46+AF46+AM46+AT46+BA46+BH46</f>
        <v>65000</v>
      </c>
      <c r="BO46" s="40">
        <f t="shared" ref="BO46" si="232">SUM(BL46,BJ46,BE46,BC46,AX46,AV46,AQ46,AO46,AJ46,AH46,AC46,AA46,V46,T46,O46,M46)</f>
        <v>65000</v>
      </c>
      <c r="BP46" s="15">
        <f t="shared" ref="BP46" si="233">IF(AND(BM46=BN46,BN46=BO46,BM46=BO46),0,1)</f>
        <v>0</v>
      </c>
    </row>
    <row r="47" spans="1:68" x14ac:dyDescent="0.25">
      <c r="B47" s="47" t="s">
        <v>51</v>
      </c>
      <c r="C47" s="41" t="s">
        <v>34</v>
      </c>
      <c r="D47" s="42">
        <v>2489</v>
      </c>
      <c r="E47" s="191">
        <f>H47*$K$69</f>
        <v>66.325999999999993</v>
      </c>
      <c r="F47" s="92">
        <v>161785</v>
      </c>
      <c r="G47" s="39"/>
      <c r="H47" s="162">
        <v>65</v>
      </c>
      <c r="I47" s="39"/>
      <c r="J47" s="35"/>
      <c r="K47" s="36">
        <f t="shared" ref="K47" si="234">J47*$F47</f>
        <v>0</v>
      </c>
      <c r="L47" s="37"/>
      <c r="M47" s="38">
        <f t="shared" ref="M47" si="235">L47*K47</f>
        <v>0</v>
      </c>
      <c r="N47" s="37"/>
      <c r="O47" s="38">
        <f t="shared" ref="O47" si="236">N47*K47</f>
        <v>0</v>
      </c>
      <c r="P47" s="39"/>
      <c r="Q47" s="35"/>
      <c r="R47" s="36">
        <f t="shared" ref="R47" si="237">Q47*$F47</f>
        <v>0</v>
      </c>
      <c r="S47" s="37"/>
      <c r="T47" s="38">
        <f t="shared" ref="T47" si="238">S47*R47</f>
        <v>0</v>
      </c>
      <c r="U47" s="37"/>
      <c r="V47" s="38">
        <f t="shared" ref="V47" si="239">U47*R47</f>
        <v>0</v>
      </c>
      <c r="W47" s="39"/>
      <c r="X47" s="35"/>
      <c r="Y47" s="36">
        <f t="shared" ref="Y47" si="240">X47*$F47</f>
        <v>0</v>
      </c>
      <c r="Z47" s="37"/>
      <c r="AA47" s="38">
        <f t="shared" ref="AA47" si="241">Z47*Y47</f>
        <v>0</v>
      </c>
      <c r="AB47" s="37"/>
      <c r="AC47" s="38">
        <f t="shared" ref="AC47" si="242">AB47*Y47</f>
        <v>0</v>
      </c>
      <c r="AD47" s="39"/>
      <c r="AE47" s="35">
        <v>1</v>
      </c>
      <c r="AF47" s="36">
        <f t="shared" ref="AF47" si="243">AE47*$F47</f>
        <v>161785</v>
      </c>
      <c r="AG47" s="37">
        <v>0.5</v>
      </c>
      <c r="AH47" s="38">
        <f t="shared" ref="AH47" si="244">AG47*AF47</f>
        <v>80892.5</v>
      </c>
      <c r="AI47" s="37">
        <v>0.5</v>
      </c>
      <c r="AJ47" s="38">
        <f t="shared" ref="AJ47" si="245">AI47*AF47</f>
        <v>80892.5</v>
      </c>
      <c r="AK47" s="39"/>
      <c r="AL47" s="35"/>
      <c r="AM47" s="36">
        <f t="shared" ref="AM47" si="246">AL47*$F47</f>
        <v>0</v>
      </c>
      <c r="AN47" s="37"/>
      <c r="AO47" s="38">
        <f t="shared" ref="AO47" si="247">AN47*AM47</f>
        <v>0</v>
      </c>
      <c r="AP47" s="37"/>
      <c r="AQ47" s="38">
        <f t="shared" ref="AQ47" si="248">AP47*AM47</f>
        <v>0</v>
      </c>
      <c r="AR47" s="39"/>
      <c r="AS47" s="35"/>
      <c r="AT47" s="36">
        <f t="shared" ref="AT47" si="249">AS47*$F47</f>
        <v>0</v>
      </c>
      <c r="AU47" s="37"/>
      <c r="AV47" s="38">
        <f t="shared" ref="AV47" si="250">AU47*AT47</f>
        <v>0</v>
      </c>
      <c r="AW47" s="37"/>
      <c r="AX47" s="38">
        <f t="shared" ref="AX47" si="251">AW47*AT47</f>
        <v>0</v>
      </c>
      <c r="AY47" s="39"/>
      <c r="AZ47" s="35"/>
      <c r="BA47" s="36">
        <f t="shared" ref="BA47" si="252">AZ47*$F47</f>
        <v>0</v>
      </c>
      <c r="BB47" s="37"/>
      <c r="BC47" s="38">
        <f t="shared" ref="BC47" si="253">BB47*BA47</f>
        <v>0</v>
      </c>
      <c r="BD47" s="37"/>
      <c r="BE47" s="38">
        <f t="shared" ref="BE47" si="254">BD47*BA47</f>
        <v>0</v>
      </c>
      <c r="BF47" s="39"/>
      <c r="BG47" s="35"/>
      <c r="BH47" s="36">
        <f t="shared" ref="BH47" si="255">BG47*$F47</f>
        <v>0</v>
      </c>
      <c r="BI47" s="37"/>
      <c r="BJ47" s="38">
        <f t="shared" ref="BJ47" si="256">BI47*BH47</f>
        <v>0</v>
      </c>
      <c r="BK47" s="37"/>
      <c r="BL47" s="38">
        <f t="shared" ref="BL47" si="257">BK47*BH47</f>
        <v>0</v>
      </c>
      <c r="BM47" s="40">
        <f t="shared" ref="BM47" si="258">F47</f>
        <v>161785</v>
      </c>
      <c r="BN47" s="40">
        <f t="shared" ref="BN47" si="259">K47+R47+Y47+AF47+AM47+AT47+BA47+BH47</f>
        <v>161785</v>
      </c>
      <c r="BO47" s="40">
        <f t="shared" ref="BO47" si="260">SUM(BL47,BJ47,BE47,BC47,AX47,AV47,AQ47,AO47,AJ47,AH47,AC47,AA47,V47,T47,O47,M47)</f>
        <v>161785</v>
      </c>
      <c r="BP47" s="15">
        <f t="shared" si="27"/>
        <v>0</v>
      </c>
    </row>
    <row r="48" spans="1:68" x14ac:dyDescent="0.25">
      <c r="B48" s="45"/>
      <c r="C48" s="53"/>
      <c r="D48" s="70"/>
      <c r="E48" s="71"/>
      <c r="F48" s="71"/>
      <c r="G48" s="54"/>
      <c r="H48" s="160"/>
      <c r="I48" s="54"/>
      <c r="J48" s="55"/>
      <c r="K48" s="72"/>
      <c r="L48" s="56"/>
      <c r="M48" s="73"/>
      <c r="N48" s="56"/>
      <c r="O48" s="73"/>
      <c r="P48" s="54"/>
      <c r="Q48" s="55"/>
      <c r="R48" s="72"/>
      <c r="S48" s="56"/>
      <c r="T48" s="73"/>
      <c r="U48" s="56"/>
      <c r="V48" s="73"/>
      <c r="W48" s="54"/>
      <c r="X48" s="55"/>
      <c r="Y48" s="72"/>
      <c r="Z48" s="56"/>
      <c r="AA48" s="73"/>
      <c r="AB48" s="56"/>
      <c r="AC48" s="73"/>
      <c r="AD48" s="54"/>
      <c r="AE48" s="55"/>
      <c r="AF48" s="72"/>
      <c r="AG48" s="56"/>
      <c r="AH48" s="73"/>
      <c r="AI48" s="56"/>
      <c r="AJ48" s="73"/>
      <c r="AK48" s="54"/>
      <c r="AL48" s="55"/>
      <c r="AM48" s="72"/>
      <c r="AN48" s="56"/>
      <c r="AO48" s="73"/>
      <c r="AP48" s="56"/>
      <c r="AQ48" s="73"/>
      <c r="AR48" s="54"/>
      <c r="AS48" s="55"/>
      <c r="AT48" s="72"/>
      <c r="AU48" s="56"/>
      <c r="AV48" s="73"/>
      <c r="AW48" s="56"/>
      <c r="AX48" s="73"/>
      <c r="AY48" s="54"/>
      <c r="AZ48" s="55"/>
      <c r="BA48" s="72"/>
      <c r="BB48" s="56"/>
      <c r="BC48" s="73"/>
      <c r="BD48" s="56"/>
      <c r="BE48" s="73"/>
      <c r="BF48" s="54"/>
      <c r="BG48" s="55"/>
      <c r="BH48" s="72"/>
      <c r="BI48" s="56"/>
      <c r="BJ48" s="73"/>
      <c r="BK48" s="56"/>
      <c r="BL48" s="73"/>
      <c r="BM48" s="40"/>
      <c r="BN48" s="40"/>
      <c r="BO48" s="40"/>
      <c r="BP48" s="15">
        <f t="shared" si="27"/>
        <v>0</v>
      </c>
    </row>
    <row r="49" spans="2:68" x14ac:dyDescent="0.25">
      <c r="B49" s="45"/>
      <c r="C49" s="53"/>
      <c r="D49" s="70"/>
      <c r="E49" s="73" t="s">
        <v>218</v>
      </c>
      <c r="F49" s="71">
        <f>F42+F46+F47</f>
        <v>2854130.8472611126</v>
      </c>
      <c r="G49" s="54"/>
      <c r="H49" s="160"/>
      <c r="I49" s="54"/>
      <c r="J49" s="55"/>
      <c r="K49" s="72"/>
      <c r="L49" s="56"/>
      <c r="M49" s="73"/>
      <c r="N49" s="56"/>
      <c r="O49" s="73"/>
      <c r="P49" s="54"/>
      <c r="Q49" s="55"/>
      <c r="R49" s="72"/>
      <c r="S49" s="56"/>
      <c r="T49" s="73"/>
      <c r="U49" s="56"/>
      <c r="V49" s="73"/>
      <c r="W49" s="54"/>
      <c r="X49" s="55"/>
      <c r="Y49" s="72"/>
      <c r="Z49" s="56"/>
      <c r="AA49" s="73"/>
      <c r="AB49" s="56"/>
      <c r="AC49" s="73"/>
      <c r="AD49" s="54"/>
      <c r="AE49" s="55"/>
      <c r="AF49" s="72"/>
      <c r="AG49" s="56"/>
      <c r="AH49" s="73"/>
      <c r="AI49" s="56"/>
      <c r="AJ49" s="73"/>
      <c r="AK49" s="54"/>
      <c r="AL49" s="55"/>
      <c r="AM49" s="72"/>
      <c r="AN49" s="56"/>
      <c r="AO49" s="73"/>
      <c r="AP49" s="56"/>
      <c r="AQ49" s="73"/>
      <c r="AR49" s="54"/>
      <c r="AS49" s="55"/>
      <c r="AT49" s="72"/>
      <c r="AU49" s="56"/>
      <c r="AV49" s="73"/>
      <c r="AW49" s="56"/>
      <c r="AX49" s="73"/>
      <c r="AY49" s="54"/>
      <c r="AZ49" s="55"/>
      <c r="BA49" s="72"/>
      <c r="BB49" s="56"/>
      <c r="BC49" s="73"/>
      <c r="BD49" s="56"/>
      <c r="BE49" s="73"/>
      <c r="BF49" s="54"/>
      <c r="BG49" s="55"/>
      <c r="BH49" s="72"/>
      <c r="BI49" s="56"/>
      <c r="BJ49" s="73"/>
      <c r="BK49" s="56"/>
      <c r="BL49" s="73"/>
      <c r="BM49" s="40"/>
      <c r="BN49" s="40"/>
      <c r="BO49" s="40"/>
      <c r="BP49" s="15">
        <f t="shared" ref="BP49:BP66" si="261">IF(AND(BM49=BN49,BN49=BO49,BM49=BO49),0,1)</f>
        <v>0</v>
      </c>
    </row>
    <row r="50" spans="2:68" x14ac:dyDescent="0.25">
      <c r="B50" s="45"/>
      <c r="C50" s="53"/>
      <c r="D50" s="70"/>
      <c r="E50" s="73" t="s">
        <v>195</v>
      </c>
      <c r="F50" s="71">
        <v>2767687.6203002632</v>
      </c>
      <c r="G50" s="54"/>
      <c r="H50" s="160"/>
      <c r="I50" s="54"/>
      <c r="J50" s="55"/>
      <c r="K50" s="72"/>
      <c r="L50" s="56"/>
      <c r="M50" s="73"/>
      <c r="N50" s="56"/>
      <c r="O50" s="73"/>
      <c r="P50" s="54"/>
      <c r="Q50" s="55"/>
      <c r="R50" s="72"/>
      <c r="S50" s="56"/>
      <c r="T50" s="73"/>
      <c r="U50" s="56"/>
      <c r="V50" s="73"/>
      <c r="W50" s="54"/>
      <c r="X50" s="55"/>
      <c r="Y50" s="72"/>
      <c r="Z50" s="56"/>
      <c r="AA50" s="73"/>
      <c r="AB50" s="56"/>
      <c r="AC50" s="73"/>
      <c r="AD50" s="54"/>
      <c r="AE50" s="55"/>
      <c r="AF50" s="72"/>
      <c r="AG50" s="56"/>
      <c r="AH50" s="73"/>
      <c r="AI50" s="56"/>
      <c r="AJ50" s="73"/>
      <c r="AK50" s="54"/>
      <c r="AL50" s="55"/>
      <c r="AM50" s="72"/>
      <c r="AN50" s="56"/>
      <c r="AO50" s="73"/>
      <c r="AP50" s="56"/>
      <c r="AQ50" s="73"/>
      <c r="AR50" s="54"/>
      <c r="AS50" s="55"/>
      <c r="AT50" s="72"/>
      <c r="AU50" s="56"/>
      <c r="AV50" s="73"/>
      <c r="AW50" s="56"/>
      <c r="AX50" s="73"/>
      <c r="AY50" s="54"/>
      <c r="AZ50" s="55"/>
      <c r="BA50" s="72"/>
      <c r="BB50" s="56"/>
      <c r="BC50" s="73"/>
      <c r="BD50" s="56"/>
      <c r="BE50" s="73"/>
      <c r="BF50" s="54"/>
      <c r="BG50" s="55"/>
      <c r="BH50" s="72"/>
      <c r="BI50" s="56"/>
      <c r="BJ50" s="73"/>
      <c r="BK50" s="56"/>
      <c r="BL50" s="73"/>
      <c r="BM50" s="40"/>
      <c r="BN50" s="40"/>
      <c r="BO50" s="40"/>
      <c r="BP50" s="15"/>
    </row>
    <row r="51" spans="2:68" x14ac:dyDescent="0.25">
      <c r="B51" s="45"/>
      <c r="C51" s="53"/>
      <c r="D51" s="70"/>
      <c r="E51" s="73" t="s">
        <v>196</v>
      </c>
      <c r="F51" s="71">
        <v>2526283</v>
      </c>
      <c r="G51" s="54"/>
      <c r="H51" s="160"/>
      <c r="I51" s="54"/>
      <c r="J51" s="55"/>
      <c r="K51" s="72"/>
      <c r="L51" s="56"/>
      <c r="M51" s="73"/>
      <c r="N51" s="56"/>
      <c r="O51" s="73"/>
      <c r="P51" s="54"/>
      <c r="Q51" s="55"/>
      <c r="R51" s="72"/>
      <c r="S51" s="56"/>
      <c r="T51" s="73"/>
      <c r="U51" s="56"/>
      <c r="V51" s="73"/>
      <c r="W51" s="54"/>
      <c r="X51" s="55"/>
      <c r="Y51" s="72"/>
      <c r="Z51" s="56"/>
      <c r="AA51" s="73"/>
      <c r="AB51" s="56"/>
      <c r="AC51" s="73"/>
      <c r="AD51" s="54"/>
      <c r="AE51" s="55"/>
      <c r="AF51" s="72"/>
      <c r="AG51" s="56"/>
      <c r="AH51" s="73"/>
      <c r="AI51" s="56"/>
      <c r="AJ51" s="73"/>
      <c r="AK51" s="54"/>
      <c r="AL51" s="55"/>
      <c r="AM51" s="72"/>
      <c r="AN51" s="56"/>
      <c r="AO51" s="73"/>
      <c r="AP51" s="56"/>
      <c r="AQ51" s="73"/>
      <c r="AR51" s="54"/>
      <c r="AS51" s="55"/>
      <c r="AT51" s="72"/>
      <c r="AU51" s="56"/>
      <c r="AV51" s="73"/>
      <c r="AW51" s="56"/>
      <c r="AX51" s="73"/>
      <c r="AY51" s="54"/>
      <c r="AZ51" s="55"/>
      <c r="BA51" s="72"/>
      <c r="BB51" s="56"/>
      <c r="BC51" s="73"/>
      <c r="BD51" s="56"/>
      <c r="BE51" s="73"/>
      <c r="BF51" s="54"/>
      <c r="BG51" s="55"/>
      <c r="BH51" s="72"/>
      <c r="BI51" s="56"/>
      <c r="BJ51" s="73"/>
      <c r="BK51" s="56"/>
      <c r="BL51" s="73"/>
      <c r="BM51" s="40"/>
      <c r="BN51" s="40"/>
      <c r="BO51" s="40"/>
      <c r="BP51" s="15"/>
    </row>
    <row r="52" spans="2:68" x14ac:dyDescent="0.25">
      <c r="B52" s="45"/>
      <c r="C52" s="53"/>
      <c r="D52" s="70"/>
      <c r="E52" s="71"/>
      <c r="F52" s="71">
        <f>F49-F51</f>
        <v>327847.84726111265</v>
      </c>
      <c r="G52" s="54"/>
      <c r="H52" s="160"/>
      <c r="I52" s="54"/>
      <c r="J52" s="55"/>
      <c r="K52" s="72"/>
      <c r="L52" s="56"/>
      <c r="M52" s="73"/>
      <c r="N52" s="56"/>
      <c r="O52" s="73"/>
      <c r="P52" s="54"/>
      <c r="Q52" s="55"/>
      <c r="R52" s="72"/>
      <c r="S52" s="56"/>
      <c r="T52" s="73"/>
      <c r="U52" s="56"/>
      <c r="V52" s="73"/>
      <c r="W52" s="54"/>
      <c r="X52" s="55"/>
      <c r="Y52" s="72"/>
      <c r="Z52" s="56"/>
      <c r="AA52" s="73"/>
      <c r="AB52" s="56"/>
      <c r="AC52" s="73"/>
      <c r="AD52" s="54"/>
      <c r="AE52" s="55"/>
      <c r="AF52" s="72"/>
      <c r="AG52" s="56"/>
      <c r="AH52" s="73"/>
      <c r="AI52" s="56"/>
      <c r="AJ52" s="73"/>
      <c r="AK52" s="54"/>
      <c r="AL52" s="55"/>
      <c r="AM52" s="72"/>
      <c r="AN52" s="56"/>
      <c r="AO52" s="73"/>
      <c r="AP52" s="56"/>
      <c r="AQ52" s="73"/>
      <c r="AR52" s="54"/>
      <c r="AS52" s="55"/>
      <c r="AT52" s="72"/>
      <c r="AU52" s="56"/>
      <c r="AV52" s="73"/>
      <c r="AW52" s="56"/>
      <c r="AX52" s="73"/>
      <c r="AY52" s="54"/>
      <c r="AZ52" s="55"/>
      <c r="BA52" s="72"/>
      <c r="BB52" s="56"/>
      <c r="BC52" s="73"/>
      <c r="BD52" s="56"/>
      <c r="BE52" s="73"/>
      <c r="BF52" s="54"/>
      <c r="BG52" s="55"/>
      <c r="BH52" s="72"/>
      <c r="BI52" s="56"/>
      <c r="BJ52" s="73"/>
      <c r="BK52" s="56"/>
      <c r="BL52" s="73"/>
      <c r="BM52" s="40"/>
      <c r="BN52" s="40"/>
      <c r="BO52" s="40"/>
      <c r="BP52" s="15"/>
    </row>
    <row r="53" spans="2:68" x14ac:dyDescent="0.25">
      <c r="B53" s="45"/>
      <c r="C53" s="53"/>
      <c r="D53" s="70"/>
      <c r="E53" s="71"/>
      <c r="F53" s="71"/>
      <c r="G53" s="54"/>
      <c r="H53" s="160"/>
      <c r="I53" s="54"/>
      <c r="J53" s="55"/>
      <c r="K53" s="72"/>
      <c r="L53" s="56"/>
      <c r="M53" s="73"/>
      <c r="N53" s="56"/>
      <c r="O53" s="73"/>
      <c r="P53" s="54"/>
      <c r="Q53" s="55"/>
      <c r="R53" s="72"/>
      <c r="S53" s="56"/>
      <c r="T53" s="73"/>
      <c r="U53" s="56"/>
      <c r="V53" s="73"/>
      <c r="W53" s="54"/>
      <c r="X53" s="55"/>
      <c r="Y53" s="72"/>
      <c r="Z53" s="56"/>
      <c r="AA53" s="73"/>
      <c r="AB53" s="56"/>
      <c r="AC53" s="73"/>
      <c r="AD53" s="54"/>
      <c r="AE53" s="55"/>
      <c r="AF53" s="72"/>
      <c r="AG53" s="56"/>
      <c r="AH53" s="73"/>
      <c r="AI53" s="56"/>
      <c r="AJ53" s="73"/>
      <c r="AK53" s="54"/>
      <c r="AL53" s="55"/>
      <c r="AM53" s="72"/>
      <c r="AN53" s="56"/>
      <c r="AO53" s="73"/>
      <c r="AP53" s="56"/>
      <c r="AQ53" s="73"/>
      <c r="AR53" s="54"/>
      <c r="AS53" s="55"/>
      <c r="AT53" s="72"/>
      <c r="AU53" s="56"/>
      <c r="AV53" s="73"/>
      <c r="AW53" s="56"/>
      <c r="AX53" s="73"/>
      <c r="AY53" s="54"/>
      <c r="AZ53" s="55"/>
      <c r="BA53" s="72"/>
      <c r="BB53" s="56"/>
      <c r="BC53" s="73"/>
      <c r="BD53" s="56"/>
      <c r="BE53" s="73"/>
      <c r="BF53" s="54"/>
      <c r="BG53" s="55"/>
      <c r="BH53" s="72"/>
      <c r="BI53" s="56"/>
      <c r="BJ53" s="73"/>
      <c r="BK53" s="56"/>
      <c r="BL53" s="73"/>
      <c r="BM53" s="40"/>
      <c r="BN53" s="40"/>
      <c r="BO53" s="40"/>
      <c r="BP53" s="15"/>
    </row>
    <row r="54" spans="2:68" ht="15.75" thickBot="1" x14ac:dyDescent="0.3">
      <c r="B54" s="45"/>
      <c r="C54" s="53"/>
      <c r="D54" s="70"/>
      <c r="E54" s="71"/>
      <c r="F54" s="71"/>
      <c r="G54" s="54"/>
      <c r="H54" s="160"/>
      <c r="I54" s="54"/>
      <c r="J54" s="55"/>
      <c r="K54" s="72"/>
      <c r="L54" s="56"/>
      <c r="M54" s="73"/>
      <c r="N54" s="56"/>
      <c r="O54" s="73"/>
      <c r="P54" s="54"/>
      <c r="Q54" s="55"/>
      <c r="R54" s="72"/>
      <c r="S54" s="56"/>
      <c r="T54" s="73"/>
      <c r="U54" s="56"/>
      <c r="V54" s="73"/>
      <c r="W54" s="54"/>
      <c r="X54" s="55"/>
      <c r="Y54" s="72"/>
      <c r="Z54" s="56"/>
      <c r="AA54" s="73"/>
      <c r="AB54" s="56"/>
      <c r="AC54" s="73"/>
      <c r="AD54" s="54"/>
      <c r="AE54" s="55"/>
      <c r="AF54" s="72"/>
      <c r="AG54" s="56"/>
      <c r="AH54" s="73"/>
      <c r="AI54" s="56"/>
      <c r="AJ54" s="73"/>
      <c r="AK54" s="54"/>
      <c r="AL54" s="55"/>
      <c r="AM54" s="72"/>
      <c r="AN54" s="56"/>
      <c r="AO54" s="73"/>
      <c r="AP54" s="56"/>
      <c r="AQ54" s="73"/>
      <c r="AR54" s="54"/>
      <c r="AS54" s="55"/>
      <c r="AT54" s="72"/>
      <c r="AU54" s="56"/>
      <c r="AV54" s="73"/>
      <c r="AW54" s="56"/>
      <c r="AX54" s="73"/>
      <c r="AY54" s="54"/>
      <c r="AZ54" s="55"/>
      <c r="BA54" s="72"/>
      <c r="BB54" s="56"/>
      <c r="BC54" s="73"/>
      <c r="BD54" s="56"/>
      <c r="BE54" s="73"/>
      <c r="BF54" s="54"/>
      <c r="BG54" s="55"/>
      <c r="BH54" s="72"/>
      <c r="BI54" s="56"/>
      <c r="BJ54" s="73"/>
      <c r="BK54" s="56"/>
      <c r="BL54" s="73"/>
      <c r="BM54" s="40"/>
      <c r="BN54" s="40"/>
      <c r="BO54" s="40"/>
      <c r="BP54" s="15"/>
    </row>
    <row r="55" spans="2:68" ht="15.75" thickTop="1" x14ac:dyDescent="0.25">
      <c r="B55" s="163" t="s">
        <v>220</v>
      </c>
      <c r="C55" s="164"/>
      <c r="D55" s="165"/>
      <c r="E55" s="166"/>
      <c r="F55" s="167">
        <v>42735</v>
      </c>
      <c r="G55" s="168"/>
      <c r="H55" s="169"/>
      <c r="I55" s="168"/>
      <c r="J55" s="170"/>
      <c r="K55" s="171">
        <v>42735</v>
      </c>
      <c r="L55" s="56"/>
      <c r="M55" s="73"/>
      <c r="N55" s="56"/>
      <c r="O55" s="73"/>
      <c r="P55" s="54"/>
      <c r="Q55" s="55"/>
      <c r="R55" s="72"/>
      <c r="S55" s="56"/>
      <c r="T55" s="73"/>
      <c r="U55" s="56"/>
      <c r="V55" s="73"/>
      <c r="W55" s="54"/>
      <c r="X55" s="55"/>
      <c r="Y55" s="72"/>
      <c r="Z55" s="56"/>
      <c r="AA55" s="73"/>
      <c r="AB55" s="56"/>
      <c r="AC55" s="73"/>
      <c r="AD55" s="54"/>
      <c r="AE55" s="55"/>
      <c r="AF55" s="72"/>
      <c r="AG55" s="56"/>
      <c r="AH55" s="73"/>
      <c r="AI55" s="56"/>
      <c r="AJ55" s="73"/>
      <c r="AK55" s="54"/>
      <c r="AL55" s="55"/>
      <c r="AM55" s="72"/>
      <c r="AN55" s="56"/>
      <c r="AO55" s="73"/>
      <c r="AP55" s="56"/>
      <c r="AQ55" s="73"/>
      <c r="AR55" s="54"/>
      <c r="AS55" s="55"/>
      <c r="AT55" s="72"/>
      <c r="AU55" s="56"/>
      <c r="AV55" s="73"/>
      <c r="AW55" s="56"/>
      <c r="AX55" s="73"/>
      <c r="AY55" s="54"/>
      <c r="AZ55" s="55"/>
      <c r="BA55" s="72"/>
      <c r="BB55" s="56"/>
      <c r="BC55" s="73"/>
      <c r="BD55" s="56"/>
      <c r="BE55" s="73"/>
      <c r="BF55" s="54"/>
      <c r="BG55" s="55"/>
      <c r="BH55" s="72"/>
      <c r="BI55" s="56"/>
      <c r="BJ55" s="73"/>
      <c r="BK55" s="56"/>
      <c r="BL55" s="73"/>
      <c r="BM55" s="40"/>
      <c r="BN55" s="40"/>
      <c r="BO55" s="40"/>
      <c r="BP55" s="15"/>
    </row>
    <row r="56" spans="2:68" x14ac:dyDescent="0.25">
      <c r="B56" s="172"/>
      <c r="C56" s="53"/>
      <c r="D56" s="70"/>
      <c r="E56" s="71"/>
      <c r="F56" s="114" t="s">
        <v>175</v>
      </c>
      <c r="G56" s="54"/>
      <c r="H56" s="160"/>
      <c r="I56" s="54"/>
      <c r="J56" s="173"/>
      <c r="K56" s="174" t="s">
        <v>197</v>
      </c>
      <c r="L56" s="115"/>
      <c r="M56" s="116"/>
      <c r="N56" s="56"/>
      <c r="P56" s="54"/>
      <c r="Q56" s="55"/>
      <c r="R56" s="72"/>
      <c r="S56" s="56"/>
      <c r="T56" s="73"/>
      <c r="U56" s="56"/>
      <c r="V56" s="73"/>
      <c r="W56" s="54"/>
      <c r="X56" s="55"/>
      <c r="Y56" s="72"/>
      <c r="Z56" s="56"/>
      <c r="AA56" s="73"/>
      <c r="AB56" s="56"/>
      <c r="AC56" s="73"/>
      <c r="AD56" s="54"/>
      <c r="AE56" s="55"/>
      <c r="AF56" s="72"/>
      <c r="AG56" s="56"/>
      <c r="AH56" s="73"/>
      <c r="AI56" s="56"/>
      <c r="AJ56" s="73"/>
      <c r="AK56" s="54"/>
      <c r="AL56" s="55"/>
      <c r="AM56" s="72"/>
      <c r="AN56" s="56"/>
      <c r="AO56" s="73"/>
      <c r="AP56" s="56"/>
      <c r="AQ56" s="73"/>
      <c r="AR56" s="54"/>
      <c r="AS56" s="55"/>
      <c r="AT56" s="72"/>
      <c r="AU56" s="56"/>
      <c r="AV56" s="73"/>
      <c r="AW56" s="56"/>
      <c r="AX56" s="73"/>
      <c r="AY56" s="54"/>
      <c r="AZ56" s="55"/>
      <c r="BA56" s="72"/>
      <c r="BB56" s="56"/>
      <c r="BC56" s="73"/>
      <c r="BD56" s="56"/>
      <c r="BE56" s="73"/>
      <c r="BF56" s="54"/>
      <c r="BG56" s="55"/>
      <c r="BH56" s="72"/>
      <c r="BI56" s="56"/>
      <c r="BJ56" s="73"/>
      <c r="BK56" s="56"/>
      <c r="BL56" s="73"/>
      <c r="BM56" s="40"/>
      <c r="BN56" s="40"/>
      <c r="BO56" s="40"/>
      <c r="BP56" s="15">
        <f t="shared" si="261"/>
        <v>0</v>
      </c>
    </row>
    <row r="57" spans="2:68" x14ac:dyDescent="0.25">
      <c r="B57" s="175"/>
      <c r="C57" s="118"/>
      <c r="D57" s="70"/>
      <c r="E57" s="176"/>
      <c r="F57" s="155" t="s">
        <v>176</v>
      </c>
      <c r="G57" s="54"/>
      <c r="H57" s="160"/>
      <c r="I57" s="54"/>
      <c r="J57" s="173"/>
      <c r="K57" s="174" t="s">
        <v>176</v>
      </c>
      <c r="L57" s="117"/>
      <c r="M57" s="53"/>
      <c r="N57" s="118"/>
      <c r="BP57" s="15">
        <f t="shared" si="261"/>
        <v>0</v>
      </c>
    </row>
    <row r="58" spans="2:68" x14ac:dyDescent="0.25">
      <c r="B58" s="177" t="s">
        <v>223</v>
      </c>
      <c r="C58" s="118"/>
      <c r="D58" s="70"/>
      <c r="E58" s="176"/>
      <c r="F58" s="178">
        <v>147.0723668</v>
      </c>
      <c r="G58" s="54"/>
      <c r="H58" s="160"/>
      <c r="I58" s="54"/>
      <c r="J58" s="173"/>
      <c r="K58" s="179">
        <v>-108.3695731319762</v>
      </c>
      <c r="L58" s="71"/>
      <c r="M58" s="118"/>
      <c r="N58" s="122"/>
      <c r="BP58" s="15">
        <f t="shared" si="261"/>
        <v>0</v>
      </c>
    </row>
    <row r="59" spans="2:68" x14ac:dyDescent="0.25">
      <c r="B59" s="177" t="s">
        <v>224</v>
      </c>
      <c r="C59" s="118"/>
      <c r="D59" s="70"/>
      <c r="E59" s="176"/>
      <c r="F59" s="178">
        <v>0.68398715399999999</v>
      </c>
      <c r="G59" s="54"/>
      <c r="H59" s="160"/>
      <c r="I59" s="54"/>
      <c r="J59" s="173"/>
      <c r="K59" s="179">
        <v>-0.38793301271641789</v>
      </c>
      <c r="L59" s="123"/>
      <c r="M59" s="118"/>
      <c r="N59" s="122"/>
      <c r="BP59" s="15">
        <f t="shared" si="261"/>
        <v>0</v>
      </c>
    </row>
    <row r="60" spans="2:68" x14ac:dyDescent="0.25">
      <c r="B60" s="177" t="s">
        <v>225</v>
      </c>
      <c r="C60" s="118"/>
      <c r="D60" s="70"/>
      <c r="E60" s="176"/>
      <c r="F60" s="178">
        <v>1.9442985659999998</v>
      </c>
      <c r="G60" s="54"/>
      <c r="H60" s="160"/>
      <c r="I60" s="54"/>
      <c r="J60" s="173"/>
      <c r="K60" s="179">
        <v>-0.31414430979039298</v>
      </c>
      <c r="L60" s="123"/>
      <c r="M60" s="118"/>
      <c r="N60" s="122"/>
      <c r="BP60" s="15">
        <f t="shared" si="261"/>
        <v>0</v>
      </c>
    </row>
    <row r="61" spans="2:68" x14ac:dyDescent="0.25">
      <c r="B61" s="180" t="s">
        <v>226</v>
      </c>
      <c r="C61" s="118"/>
      <c r="D61" s="70"/>
      <c r="E61" s="176"/>
      <c r="F61" s="178">
        <v>0.37674735999999998</v>
      </c>
      <c r="G61" s="54"/>
      <c r="H61" s="160"/>
      <c r="I61" s="54"/>
      <c r="J61" s="173"/>
      <c r="K61" s="179">
        <v>-0.13699903999999999</v>
      </c>
      <c r="L61" s="123"/>
      <c r="M61" s="118"/>
      <c r="N61" s="122"/>
      <c r="BP61" s="15">
        <f t="shared" si="261"/>
        <v>0</v>
      </c>
    </row>
    <row r="62" spans="2:68" x14ac:dyDescent="0.25">
      <c r="B62" s="180" t="s">
        <v>227</v>
      </c>
      <c r="C62" s="118"/>
      <c r="D62" s="70"/>
      <c r="E62" s="176"/>
      <c r="F62" s="178">
        <v>0.37674735999999998</v>
      </c>
      <c r="G62" s="54"/>
      <c r="H62" s="160"/>
      <c r="I62" s="54"/>
      <c r="J62" s="173"/>
      <c r="K62" s="179">
        <v>-0.17124880000000001</v>
      </c>
      <c r="L62" s="123"/>
      <c r="M62" s="118"/>
      <c r="N62" s="122"/>
      <c r="BP62" s="15">
        <f t="shared" si="261"/>
        <v>0</v>
      </c>
    </row>
    <row r="63" spans="2:68" x14ac:dyDescent="0.25">
      <c r="B63" s="181" t="s">
        <v>221</v>
      </c>
      <c r="C63" s="118"/>
      <c r="D63" s="70"/>
      <c r="E63" s="176"/>
      <c r="F63" s="178"/>
      <c r="G63" s="54"/>
      <c r="H63" s="160"/>
      <c r="I63" s="54"/>
      <c r="J63" s="173"/>
      <c r="K63" s="174"/>
      <c r="L63" s="71"/>
      <c r="M63" s="118"/>
      <c r="N63" s="122"/>
      <c r="BP63" s="15">
        <f t="shared" si="261"/>
        <v>0</v>
      </c>
    </row>
    <row r="64" spans="2:68" x14ac:dyDescent="0.25">
      <c r="B64" s="180" t="s">
        <v>228</v>
      </c>
      <c r="C64" s="118"/>
      <c r="D64" s="70"/>
      <c r="E64" s="176"/>
      <c r="F64" s="178">
        <v>0.24658749999999999</v>
      </c>
      <c r="G64" s="54"/>
      <c r="H64" s="160"/>
      <c r="I64" s="54"/>
      <c r="J64" s="173"/>
      <c r="K64" s="179">
        <v>-0.16439166666666666</v>
      </c>
      <c r="L64" s="123"/>
      <c r="M64" s="118"/>
      <c r="N64" s="122"/>
      <c r="BP64" s="15">
        <f t="shared" si="261"/>
        <v>0</v>
      </c>
    </row>
    <row r="65" spans="2:68" x14ac:dyDescent="0.25">
      <c r="B65" s="180" t="s">
        <v>229</v>
      </c>
      <c r="C65" s="118"/>
      <c r="D65" s="70"/>
      <c r="E65" s="176"/>
      <c r="F65" s="178">
        <v>1.3714462999999999</v>
      </c>
      <c r="G65" s="54"/>
      <c r="H65" s="160"/>
      <c r="I65" s="54"/>
      <c r="J65" s="173"/>
      <c r="K65" s="179">
        <v>-1.4481109999999999</v>
      </c>
      <c r="L65" s="123"/>
      <c r="M65" s="118"/>
      <c r="N65" s="122"/>
      <c r="BP65" s="15">
        <f t="shared" si="261"/>
        <v>0</v>
      </c>
    </row>
    <row r="66" spans="2:68" x14ac:dyDescent="0.25">
      <c r="B66" s="180" t="s">
        <v>230</v>
      </c>
      <c r="C66" s="118"/>
      <c r="D66" s="70"/>
      <c r="E66" s="176"/>
      <c r="F66" s="178">
        <v>1.99079425</v>
      </c>
      <c r="G66" s="54"/>
      <c r="H66" s="160"/>
      <c r="I66" s="54"/>
      <c r="J66" s="173"/>
      <c r="K66" s="179">
        <v>-1.5206066633165829</v>
      </c>
      <c r="L66" s="124"/>
      <c r="M66" s="122"/>
      <c r="N66" s="122"/>
      <c r="O66" s="62"/>
      <c r="BP66" s="15">
        <f t="shared" si="261"/>
        <v>0</v>
      </c>
    </row>
    <row r="67" spans="2:68" x14ac:dyDescent="0.25">
      <c r="B67" s="180" t="s">
        <v>231</v>
      </c>
      <c r="C67" s="118"/>
      <c r="D67" s="70"/>
      <c r="E67" s="176"/>
      <c r="F67" s="178">
        <v>0.37674735999999998</v>
      </c>
      <c r="G67" s="54"/>
      <c r="H67" s="160"/>
      <c r="I67" s="54"/>
      <c r="J67" s="173"/>
      <c r="K67" s="179">
        <v>-0.20549855999999997</v>
      </c>
      <c r="L67" s="123"/>
      <c r="M67" s="118"/>
      <c r="N67" s="122"/>
      <c r="BP67" s="15"/>
    </row>
    <row r="68" spans="2:68" x14ac:dyDescent="0.25">
      <c r="B68" s="175"/>
      <c r="C68" s="118"/>
      <c r="D68" s="70"/>
      <c r="E68" s="176"/>
      <c r="F68" s="71"/>
      <c r="G68" s="173"/>
      <c r="H68" s="173"/>
      <c r="I68" s="173"/>
      <c r="J68" s="173"/>
      <c r="K68" s="182"/>
    </row>
    <row r="69" spans="2:68" ht="15.75" thickBot="1" x14ac:dyDescent="0.3">
      <c r="B69" s="183" t="s">
        <v>222</v>
      </c>
      <c r="C69" s="184"/>
      <c r="D69" s="185"/>
      <c r="E69" s="186"/>
      <c r="F69" s="185">
        <v>2.0400000000000001E-2</v>
      </c>
      <c r="G69" s="187"/>
      <c r="H69" s="188"/>
      <c r="I69" s="187"/>
      <c r="J69" s="189"/>
      <c r="K69" s="190">
        <v>1.0204</v>
      </c>
    </row>
    <row r="70" spans="2:68" ht="15.75" thickTop="1" x14ac:dyDescent="0.25"/>
  </sheetData>
  <mergeCells count="26">
    <mergeCell ref="AW2:AX2"/>
    <mergeCell ref="BK2:BL2"/>
    <mergeCell ref="BB2:BC2"/>
    <mergeCell ref="BD2:BE2"/>
    <mergeCell ref="BI2:BJ2"/>
    <mergeCell ref="AG2:AH2"/>
    <mergeCell ref="AI2:AJ2"/>
    <mergeCell ref="AN2:AO2"/>
    <mergeCell ref="AP2:AQ2"/>
    <mergeCell ref="AU2:AV2"/>
    <mergeCell ref="AS1:AX1"/>
    <mergeCell ref="AZ1:BE1"/>
    <mergeCell ref="BG1:BL1"/>
    <mergeCell ref="C2:F2"/>
    <mergeCell ref="L2:M2"/>
    <mergeCell ref="N2:O2"/>
    <mergeCell ref="S2:T2"/>
    <mergeCell ref="C1:F1"/>
    <mergeCell ref="J1:O1"/>
    <mergeCell ref="Q1:V1"/>
    <mergeCell ref="X1:AC1"/>
    <mergeCell ref="AE1:AJ1"/>
    <mergeCell ref="AL1:AQ1"/>
    <mergeCell ref="U2:V2"/>
    <mergeCell ref="Z2:AA2"/>
    <mergeCell ref="AB2:AC2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15" max="60" man="1"/>
    <brk id="22" max="60" man="1"/>
    <brk id="29" max="60" man="1"/>
    <brk id="36" max="60" man="1"/>
    <brk id="43" max="60" man="1"/>
    <brk id="50" max="60" man="1"/>
    <brk id="57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5"/>
  <sheetViews>
    <sheetView tabSelected="1" zoomScaleNormal="100" workbookViewId="0">
      <pane ySplit="2" topLeftCell="A3" activePane="bottomLeft" state="frozen"/>
      <selection pane="bottomLeft" activeCell="M9" sqref="M9:M17"/>
    </sheetView>
  </sheetViews>
  <sheetFormatPr defaultRowHeight="15" x14ac:dyDescent="0.25"/>
  <cols>
    <col min="1" max="1" width="14.7109375" style="75" customWidth="1"/>
    <col min="2" max="2" width="14.7109375" style="95" customWidth="1"/>
    <col min="3" max="3" width="14.7109375" style="75" customWidth="1"/>
    <col min="4" max="4" width="7.140625" style="75" customWidth="1"/>
    <col min="5" max="5" width="12.85546875" style="75" customWidth="1"/>
    <col min="6" max="6" width="10.85546875" style="75" customWidth="1"/>
    <col min="7" max="7" width="6.42578125" style="75" customWidth="1"/>
    <col min="8" max="8" width="15.5703125" style="75" bestFit="1" customWidth="1"/>
    <col min="9" max="9" width="17.7109375" style="134" customWidth="1"/>
    <col min="10" max="10" width="55" style="75" customWidth="1"/>
    <col min="11" max="11" width="24.42578125" style="75" customWidth="1"/>
    <col min="12" max="12" width="18" style="75" customWidth="1"/>
    <col min="13" max="13" width="24.140625" style="75" customWidth="1"/>
    <col min="14" max="15" width="14" style="75" customWidth="1"/>
    <col min="16" max="16" width="14" style="137" customWidth="1"/>
    <col min="17" max="17" width="20" style="137" bestFit="1" customWidth="1"/>
    <col min="18" max="19" width="14" style="137" customWidth="1"/>
    <col min="20" max="20" width="16" style="137" customWidth="1"/>
    <col min="21" max="21" width="9.140625" style="137"/>
    <col min="22" max="16384" width="9.140625" style="75"/>
  </cols>
  <sheetData>
    <row r="1" spans="1:34" x14ac:dyDescent="0.25">
      <c r="H1" s="77">
        <f>SUBTOTAL(9,$I$3:$I$95)</f>
        <v>4944186.1334462063</v>
      </c>
      <c r="I1" s="130">
        <f>SUMIFS($I$3:$I$95,$T$3:$T$95,"BDG")</f>
        <v>2854130.8472611122</v>
      </c>
      <c r="J1" s="78"/>
      <c r="K1" s="78">
        <f>SUMIFS($I$3:$I$95,$U$3:$U$95,"MARKUP",$S$3:$S$95,"REMOVAL")</f>
        <v>4300349.9428906664</v>
      </c>
      <c r="O1" s="79">
        <f>P1-I1</f>
        <v>0</v>
      </c>
      <c r="P1" s="136">
        <f>'Scholz Data'!F49</f>
        <v>2854130.8472611126</v>
      </c>
      <c r="Q1" s="136"/>
      <c r="R1" s="136"/>
      <c r="S1" s="136"/>
      <c r="T1" s="136"/>
    </row>
    <row r="2" spans="1:34" x14ac:dyDescent="0.25">
      <c r="A2" s="80" t="s">
        <v>52</v>
      </c>
      <c r="B2" s="81" t="s">
        <v>164</v>
      </c>
      <c r="C2" s="81" t="s">
        <v>165</v>
      </c>
      <c r="D2" s="80" t="s">
        <v>53</v>
      </c>
      <c r="E2" s="80" t="s">
        <v>54</v>
      </c>
      <c r="F2" s="80" t="s">
        <v>55</v>
      </c>
      <c r="G2" s="80" t="s">
        <v>56</v>
      </c>
      <c r="H2" s="80" t="s">
        <v>57</v>
      </c>
      <c r="I2" s="131" t="s">
        <v>58</v>
      </c>
      <c r="J2" s="80" t="s">
        <v>59</v>
      </c>
      <c r="K2" s="80" t="s">
        <v>60</v>
      </c>
      <c r="L2" s="80" t="s">
        <v>61</v>
      </c>
      <c r="M2" s="80" t="s">
        <v>232</v>
      </c>
      <c r="N2" s="80" t="s">
        <v>233</v>
      </c>
      <c r="O2" s="80" t="s">
        <v>234</v>
      </c>
      <c r="P2" s="82" t="s">
        <v>62</v>
      </c>
      <c r="Q2" s="82" t="s">
        <v>190</v>
      </c>
      <c r="R2" s="82" t="s">
        <v>168</v>
      </c>
      <c r="S2" s="93" t="s">
        <v>149</v>
      </c>
      <c r="T2" s="137">
        <v>1</v>
      </c>
      <c r="U2" s="137">
        <v>2</v>
      </c>
      <c r="V2" s="83">
        <v>3</v>
      </c>
      <c r="W2" s="84">
        <v>4</v>
      </c>
      <c r="X2" s="84">
        <v>5</v>
      </c>
      <c r="Y2" s="84">
        <v>6</v>
      </c>
      <c r="Z2" s="84">
        <v>7</v>
      </c>
      <c r="AA2" s="84">
        <v>8</v>
      </c>
      <c r="AB2" s="84">
        <v>9</v>
      </c>
    </row>
    <row r="3" spans="1:34" x14ac:dyDescent="0.25">
      <c r="A3" s="85" t="s">
        <v>98</v>
      </c>
      <c r="B3" s="86" t="s">
        <v>154</v>
      </c>
      <c r="C3" s="86" t="s">
        <v>70</v>
      </c>
      <c r="D3" s="85" t="s">
        <v>71</v>
      </c>
      <c r="E3" s="85" t="s">
        <v>194</v>
      </c>
      <c r="F3" s="87">
        <v>1</v>
      </c>
      <c r="G3" s="85" t="s">
        <v>14</v>
      </c>
      <c r="H3" s="112">
        <f>SUMIFS($I$3:$I$95,$E$3:$E$95,$E3,$U$3:$U$95,"MARKUP",$S$3:$S$95,"REMOVAL")*0.01</f>
        <v>15005.49</v>
      </c>
      <c r="I3" s="89">
        <f>F3*H3</f>
        <v>15005.49</v>
      </c>
      <c r="J3" s="107" t="s">
        <v>99</v>
      </c>
      <c r="K3" s="85" t="s">
        <v>64</v>
      </c>
      <c r="L3" s="85" t="s">
        <v>64</v>
      </c>
      <c r="M3" s="85" t="s">
        <v>99</v>
      </c>
      <c r="N3" s="192">
        <f t="shared" ref="N3:N34" si="0">H3</f>
        <v>15005.49</v>
      </c>
      <c r="O3" s="193">
        <f t="shared" ref="O3:O34" si="1">I3</f>
        <v>15005.49</v>
      </c>
      <c r="P3" s="138" t="s">
        <v>73</v>
      </c>
      <c r="Q3" s="138">
        <v>1</v>
      </c>
      <c r="R3" s="138" t="s">
        <v>169</v>
      </c>
      <c r="S3" s="94" t="s">
        <v>150</v>
      </c>
      <c r="T3" s="137" t="s">
        <v>67</v>
      </c>
      <c r="V3" s="83" t="str">
        <f t="shared" ref="V3:V34" si="2">A3&amp;C3&amp;D3&amp;E3&amp;F3&amp;G3&amp;H3&amp;J3</f>
        <v>3090481CCLRSCHOLZ-ASB1%15005.49ADMINISTRATIVE &amp; GENERAL OVERHEAD</v>
      </c>
      <c r="W3" s="83"/>
    </row>
    <row r="4" spans="1:34" s="76" customFormat="1" x14ac:dyDescent="0.25">
      <c r="A4" s="85" t="s">
        <v>98</v>
      </c>
      <c r="B4" s="86" t="s">
        <v>154</v>
      </c>
      <c r="C4" s="86" t="s">
        <v>70</v>
      </c>
      <c r="D4" s="85" t="s">
        <v>71</v>
      </c>
      <c r="E4" s="85" t="s">
        <v>192</v>
      </c>
      <c r="F4" s="87">
        <v>1</v>
      </c>
      <c r="G4" s="85" t="s">
        <v>14</v>
      </c>
      <c r="H4" s="112">
        <f>SUMIFS($I$3:$I$95,$E$3:$E$95,$E4,$U$3:$U$95,"MARKUP",$S$3:$S$95,"REMOVAL")*0.01</f>
        <v>1680</v>
      </c>
      <c r="I4" s="89">
        <f>F4*H4</f>
        <v>1680</v>
      </c>
      <c r="J4" s="107" t="s">
        <v>99</v>
      </c>
      <c r="K4" s="85" t="s">
        <v>64</v>
      </c>
      <c r="L4" s="85" t="s">
        <v>64</v>
      </c>
      <c r="M4" s="85" t="s">
        <v>99</v>
      </c>
      <c r="N4" s="192">
        <f t="shared" si="0"/>
        <v>1680</v>
      </c>
      <c r="O4" s="193">
        <f t="shared" si="1"/>
        <v>1680</v>
      </c>
      <c r="P4" s="138" t="s">
        <v>66</v>
      </c>
      <c r="Q4" s="138">
        <v>1</v>
      </c>
      <c r="R4" s="138" t="s">
        <v>169</v>
      </c>
      <c r="S4" s="94" t="s">
        <v>150</v>
      </c>
      <c r="T4" s="137" t="s">
        <v>67</v>
      </c>
      <c r="U4" s="137"/>
      <c r="V4" s="83" t="str">
        <f t="shared" si="2"/>
        <v>3090481CCLRSCHOLZ-ECO1%1680ADMINISTRATIVE &amp; GENERAL OVERHEAD</v>
      </c>
      <c r="W4" s="83"/>
    </row>
    <row r="5" spans="1:34" x14ac:dyDescent="0.25">
      <c r="A5" s="85" t="s">
        <v>98</v>
      </c>
      <c r="B5" s="86" t="s">
        <v>154</v>
      </c>
      <c r="C5" s="86" t="s">
        <v>70</v>
      </c>
      <c r="D5" s="85" t="s">
        <v>71</v>
      </c>
      <c r="E5" s="85" t="s">
        <v>191</v>
      </c>
      <c r="F5" s="87">
        <v>1</v>
      </c>
      <c r="G5" s="85" t="s">
        <v>14</v>
      </c>
      <c r="H5" s="112">
        <f>SUMIFS($I$3:$I$95,$E$3:$E$95,$E5,$U$3:$U$95,"MARKUP",$S$3:$S$95,"REMOVAL")*0.01</f>
        <v>26318.009428906662</v>
      </c>
      <c r="I5" s="89">
        <f>F5*H5</f>
        <v>26318.009428906662</v>
      </c>
      <c r="J5" s="107" t="s">
        <v>99</v>
      </c>
      <c r="K5" s="85" t="s">
        <v>64</v>
      </c>
      <c r="L5" s="85" t="s">
        <v>64</v>
      </c>
      <c r="M5" s="85" t="s">
        <v>99</v>
      </c>
      <c r="N5" s="192">
        <f t="shared" si="0"/>
        <v>26318.009428906662</v>
      </c>
      <c r="O5" s="193">
        <f t="shared" si="1"/>
        <v>26318.009428906662</v>
      </c>
      <c r="P5" s="138" t="s">
        <v>72</v>
      </c>
      <c r="Q5" s="138">
        <v>1</v>
      </c>
      <c r="R5" s="138" t="s">
        <v>169</v>
      </c>
      <c r="S5" s="94" t="s">
        <v>150</v>
      </c>
      <c r="T5" s="137" t="s">
        <v>67</v>
      </c>
      <c r="V5" s="83" t="str">
        <f t="shared" si="2"/>
        <v>3090481CCLRSCHOLZ-NON1%26318.0094289067ADMINISTRATIVE &amp; GENERAL OVERHEAD</v>
      </c>
      <c r="W5" s="83"/>
    </row>
    <row r="6" spans="1:34" x14ac:dyDescent="0.25">
      <c r="A6" s="85" t="s">
        <v>111</v>
      </c>
      <c r="B6" s="86" t="s">
        <v>155</v>
      </c>
      <c r="C6" s="86" t="s">
        <v>70</v>
      </c>
      <c r="D6" s="85" t="s">
        <v>71</v>
      </c>
      <c r="E6" s="85" t="s">
        <v>191</v>
      </c>
      <c r="F6" s="90">
        <f>'Scholz Data'!$D$38</f>
        <v>120</v>
      </c>
      <c r="G6" s="85" t="s">
        <v>34</v>
      </c>
      <c r="H6" s="103">
        <f>'Scholz Data'!$E$38</f>
        <v>244.89599999999999</v>
      </c>
      <c r="I6" s="194">
        <f>'Scholz Data'!$F$38</f>
        <v>28800</v>
      </c>
      <c r="J6" s="85" t="s">
        <v>112</v>
      </c>
      <c r="K6" s="85" t="s">
        <v>64</v>
      </c>
      <c r="L6" s="85" t="s">
        <v>64</v>
      </c>
      <c r="M6" s="85" t="s">
        <v>113</v>
      </c>
      <c r="N6" s="192">
        <f t="shared" si="0"/>
        <v>244.89599999999999</v>
      </c>
      <c r="O6" s="193">
        <f t="shared" si="1"/>
        <v>28800</v>
      </c>
      <c r="P6" s="138" t="s">
        <v>72</v>
      </c>
      <c r="Q6" s="138">
        <v>1</v>
      </c>
      <c r="R6" s="138" t="s">
        <v>169</v>
      </c>
      <c r="S6" s="94" t="s">
        <v>150</v>
      </c>
      <c r="T6" s="137" t="s">
        <v>83</v>
      </c>
      <c r="U6" s="137" t="s">
        <v>101</v>
      </c>
      <c r="V6" s="83" t="str">
        <f t="shared" si="2"/>
        <v>311UNDCCLRSCHOLZ-NON120nt244.896ANCILLARY BUILDINGS - Demo</v>
      </c>
      <c r="W6" s="83"/>
    </row>
    <row r="7" spans="1:34" s="76" customFormat="1" x14ac:dyDescent="0.25">
      <c r="A7" s="85" t="s">
        <v>111</v>
      </c>
      <c r="B7" s="86" t="s">
        <v>155</v>
      </c>
      <c r="C7" s="86" t="s">
        <v>70</v>
      </c>
      <c r="D7" s="85" t="s">
        <v>114</v>
      </c>
      <c r="E7" s="85" t="s">
        <v>191</v>
      </c>
      <c r="F7" s="90">
        <f>'Scholz Data'!$D$39</f>
        <v>120</v>
      </c>
      <c r="G7" s="85" t="s">
        <v>34</v>
      </c>
      <c r="H7" s="103">
        <f>'Scholz Data'!$E$39</f>
        <v>-108.3695731319762</v>
      </c>
      <c r="I7" s="194">
        <f>'Scholz Data'!$F$39</f>
        <v>-21663.15789473684</v>
      </c>
      <c r="J7" s="85" t="s">
        <v>115</v>
      </c>
      <c r="K7" s="85" t="s">
        <v>116</v>
      </c>
      <c r="L7" s="85" t="s">
        <v>64</v>
      </c>
      <c r="M7" s="85" t="s">
        <v>235</v>
      </c>
      <c r="N7" s="192">
        <f t="shared" si="0"/>
        <v>-108.3695731319762</v>
      </c>
      <c r="O7" s="193">
        <f t="shared" si="1"/>
        <v>-21663.15789473684</v>
      </c>
      <c r="P7" s="138" t="s">
        <v>72</v>
      </c>
      <c r="Q7" s="138">
        <v>1</v>
      </c>
      <c r="R7" s="138" t="s">
        <v>169</v>
      </c>
      <c r="S7" s="94" t="s">
        <v>152</v>
      </c>
      <c r="T7" s="137" t="s">
        <v>83</v>
      </c>
      <c r="U7" s="137" t="s">
        <v>101</v>
      </c>
      <c r="V7" s="83" t="str">
        <f t="shared" si="2"/>
        <v>311UNDCCMSSCHOLZ-NON120nt-108.369573131976ANCILLARY BUILDINGS - FE SALES</v>
      </c>
      <c r="W7" s="83"/>
    </row>
    <row r="8" spans="1:34" x14ac:dyDescent="0.25">
      <c r="A8" s="110">
        <v>3080261</v>
      </c>
      <c r="B8" s="86" t="s">
        <v>156</v>
      </c>
      <c r="C8" s="86" t="s">
        <v>70</v>
      </c>
      <c r="D8" s="85" t="s">
        <v>71</v>
      </c>
      <c r="E8" s="85" t="s">
        <v>191</v>
      </c>
      <c r="F8" s="87">
        <v>2000</v>
      </c>
      <c r="G8" s="85" t="s">
        <v>88</v>
      </c>
      <c r="H8" s="103">
        <v>101.26</v>
      </c>
      <c r="I8" s="89">
        <v>202516</v>
      </c>
      <c r="J8" s="109" t="s">
        <v>91</v>
      </c>
      <c r="K8" s="85" t="s">
        <v>64</v>
      </c>
      <c r="L8" s="85" t="s">
        <v>64</v>
      </c>
      <c r="M8" s="85" t="s">
        <v>89</v>
      </c>
      <c r="N8" s="192">
        <f t="shared" si="0"/>
        <v>101.26</v>
      </c>
      <c r="O8" s="193">
        <f t="shared" si="1"/>
        <v>202516</v>
      </c>
      <c r="P8" s="138" t="s">
        <v>72</v>
      </c>
      <c r="Q8" s="138">
        <v>1</v>
      </c>
      <c r="R8" s="138" t="s">
        <v>169</v>
      </c>
      <c r="S8" s="94" t="s">
        <v>150</v>
      </c>
      <c r="T8" s="137" t="s">
        <v>67</v>
      </c>
      <c r="V8" s="83" t="str">
        <f t="shared" si="2"/>
        <v>3080261CCLRSCHOLZ-NON2000MH101.26APC ENGINEERING</v>
      </c>
      <c r="W8" s="83"/>
    </row>
    <row r="9" spans="1:34" x14ac:dyDescent="0.25">
      <c r="A9" s="85" t="s">
        <v>63</v>
      </c>
      <c r="B9" s="86" t="s">
        <v>157</v>
      </c>
      <c r="C9" s="86">
        <v>1</v>
      </c>
      <c r="D9" s="85" t="s">
        <v>68</v>
      </c>
      <c r="E9" s="85" t="s">
        <v>194</v>
      </c>
      <c r="F9" s="87">
        <v>0</v>
      </c>
      <c r="G9" s="85" t="s">
        <v>64</v>
      </c>
      <c r="H9" s="195"/>
      <c r="I9" s="89">
        <v>0</v>
      </c>
      <c r="J9" s="85" t="s">
        <v>65</v>
      </c>
      <c r="K9" s="85" t="s">
        <v>64</v>
      </c>
      <c r="L9" s="85" t="s">
        <v>64</v>
      </c>
      <c r="M9" s="85" t="s">
        <v>65</v>
      </c>
      <c r="N9" s="192">
        <f t="shared" si="0"/>
        <v>0</v>
      </c>
      <c r="O9" s="193">
        <f t="shared" si="1"/>
        <v>0</v>
      </c>
      <c r="P9" s="138" t="s">
        <v>73</v>
      </c>
      <c r="Q9" s="138">
        <v>1</v>
      </c>
      <c r="R9" s="138" t="s">
        <v>169</v>
      </c>
      <c r="S9" s="94" t="s">
        <v>150</v>
      </c>
      <c r="T9" s="137" t="s">
        <v>67</v>
      </c>
      <c r="V9" s="83" t="str">
        <f t="shared" si="2"/>
        <v>304000011LRSCHOLZ-ASB0CONTINGENCY</v>
      </c>
      <c r="W9" s="83"/>
    </row>
    <row r="10" spans="1:34" s="76" customFormat="1" x14ac:dyDescent="0.25">
      <c r="A10" s="85" t="s">
        <v>63</v>
      </c>
      <c r="B10" s="86" t="s">
        <v>157</v>
      </c>
      <c r="C10" s="86">
        <v>2</v>
      </c>
      <c r="D10" s="85" t="s">
        <v>69</v>
      </c>
      <c r="E10" s="85" t="s">
        <v>194</v>
      </c>
      <c r="F10" s="87">
        <v>0</v>
      </c>
      <c r="G10" s="85" t="s">
        <v>64</v>
      </c>
      <c r="H10" s="195"/>
      <c r="I10" s="89">
        <v>0</v>
      </c>
      <c r="J10" s="85" t="s">
        <v>65</v>
      </c>
      <c r="K10" s="85" t="s">
        <v>64</v>
      </c>
      <c r="L10" s="85" t="s">
        <v>64</v>
      </c>
      <c r="M10" s="85" t="s">
        <v>65</v>
      </c>
      <c r="N10" s="192">
        <f t="shared" si="0"/>
        <v>0</v>
      </c>
      <c r="O10" s="193">
        <f t="shared" si="1"/>
        <v>0</v>
      </c>
      <c r="P10" s="138" t="s">
        <v>73</v>
      </c>
      <c r="Q10" s="138">
        <v>1</v>
      </c>
      <c r="R10" s="138" t="s">
        <v>169</v>
      </c>
      <c r="S10" s="94" t="s">
        <v>150</v>
      </c>
      <c r="T10" s="137" t="s">
        <v>67</v>
      </c>
      <c r="U10" s="137"/>
      <c r="V10" s="83" t="str">
        <f t="shared" si="2"/>
        <v>304000022LRSCHOLZ-ASB0CONTINGENCY</v>
      </c>
      <c r="W10" s="83"/>
    </row>
    <row r="11" spans="1:34" x14ac:dyDescent="0.25">
      <c r="A11" s="85" t="s">
        <v>63</v>
      </c>
      <c r="B11" s="86" t="s">
        <v>157</v>
      </c>
      <c r="C11" s="111" t="s">
        <v>70</v>
      </c>
      <c r="D11" s="108" t="s">
        <v>71</v>
      </c>
      <c r="E11" s="85" t="s">
        <v>194</v>
      </c>
      <c r="F11" s="87">
        <v>0</v>
      </c>
      <c r="G11" s="85" t="s">
        <v>64</v>
      </c>
      <c r="H11" s="196"/>
      <c r="I11" s="89">
        <v>0</v>
      </c>
      <c r="J11" s="85" t="s">
        <v>65</v>
      </c>
      <c r="K11" s="85" t="s">
        <v>64</v>
      </c>
      <c r="L11" s="85" t="s">
        <v>64</v>
      </c>
      <c r="M11" s="85" t="s">
        <v>65</v>
      </c>
      <c r="N11" s="192">
        <f t="shared" si="0"/>
        <v>0</v>
      </c>
      <c r="O11" s="193">
        <f t="shared" si="1"/>
        <v>0</v>
      </c>
      <c r="P11" s="138" t="s">
        <v>73</v>
      </c>
      <c r="Q11" s="138">
        <v>1</v>
      </c>
      <c r="R11" s="138" t="s">
        <v>169</v>
      </c>
      <c r="S11" s="94" t="s">
        <v>150</v>
      </c>
      <c r="T11" s="137" t="s">
        <v>67</v>
      </c>
      <c r="V11" s="83" t="str">
        <f t="shared" si="2"/>
        <v>3040000CCLRSCHOLZ-ASB0CONTINGENCY</v>
      </c>
      <c r="W11" s="83"/>
    </row>
    <row r="12" spans="1:34" x14ac:dyDescent="0.25">
      <c r="A12" s="85" t="s">
        <v>63</v>
      </c>
      <c r="B12" s="86" t="s">
        <v>157</v>
      </c>
      <c r="C12" s="86">
        <v>1</v>
      </c>
      <c r="D12" s="85" t="s">
        <v>68</v>
      </c>
      <c r="E12" s="85" t="s">
        <v>192</v>
      </c>
      <c r="F12" s="87">
        <v>0</v>
      </c>
      <c r="G12" s="85" t="s">
        <v>64</v>
      </c>
      <c r="H12" s="196"/>
      <c r="I12" s="89">
        <v>0</v>
      </c>
      <c r="J12" s="85" t="s">
        <v>65</v>
      </c>
      <c r="K12" s="85" t="s">
        <v>64</v>
      </c>
      <c r="L12" s="85" t="s">
        <v>64</v>
      </c>
      <c r="M12" s="85" t="s">
        <v>65</v>
      </c>
      <c r="N12" s="192">
        <f t="shared" si="0"/>
        <v>0</v>
      </c>
      <c r="O12" s="193">
        <f t="shared" si="1"/>
        <v>0</v>
      </c>
      <c r="P12" s="138" t="s">
        <v>66</v>
      </c>
      <c r="Q12" s="138">
        <v>1</v>
      </c>
      <c r="R12" s="138" t="s">
        <v>169</v>
      </c>
      <c r="S12" s="94" t="s">
        <v>150</v>
      </c>
      <c r="T12" s="137" t="s">
        <v>67</v>
      </c>
      <c r="V12" s="83" t="str">
        <f t="shared" si="2"/>
        <v>304000011LRSCHOLZ-ECO0CONTINGENCY</v>
      </c>
      <c r="W12" s="83"/>
    </row>
    <row r="13" spans="1:34" x14ac:dyDescent="0.25">
      <c r="A13" s="85" t="s">
        <v>63</v>
      </c>
      <c r="B13" s="86" t="s">
        <v>157</v>
      </c>
      <c r="C13" s="86">
        <v>2</v>
      </c>
      <c r="D13" s="85" t="s">
        <v>69</v>
      </c>
      <c r="E13" s="85" t="s">
        <v>192</v>
      </c>
      <c r="F13" s="87">
        <v>0</v>
      </c>
      <c r="G13" s="85" t="s">
        <v>64</v>
      </c>
      <c r="H13" s="196"/>
      <c r="I13" s="89">
        <v>0</v>
      </c>
      <c r="J13" s="85" t="s">
        <v>65</v>
      </c>
      <c r="K13" s="85" t="s">
        <v>64</v>
      </c>
      <c r="L13" s="85" t="s">
        <v>64</v>
      </c>
      <c r="M13" s="85" t="s">
        <v>65</v>
      </c>
      <c r="N13" s="192">
        <f t="shared" si="0"/>
        <v>0</v>
      </c>
      <c r="O13" s="193">
        <f t="shared" si="1"/>
        <v>0</v>
      </c>
      <c r="P13" s="138" t="s">
        <v>66</v>
      </c>
      <c r="Q13" s="138">
        <v>1</v>
      </c>
      <c r="R13" s="138" t="s">
        <v>169</v>
      </c>
      <c r="S13" s="94" t="s">
        <v>150</v>
      </c>
      <c r="T13" s="137" t="s">
        <v>67</v>
      </c>
      <c r="V13" s="83" t="str">
        <f t="shared" si="2"/>
        <v>304000022LRSCHOLZ-ECO0CONTINGENCY</v>
      </c>
      <c r="W13" s="83"/>
    </row>
    <row r="14" spans="1:34" x14ac:dyDescent="0.25">
      <c r="A14" s="85" t="s">
        <v>63</v>
      </c>
      <c r="B14" s="86" t="s">
        <v>157</v>
      </c>
      <c r="C14" s="86" t="s">
        <v>70</v>
      </c>
      <c r="D14" s="85" t="s">
        <v>71</v>
      </c>
      <c r="E14" s="85" t="s">
        <v>192</v>
      </c>
      <c r="F14" s="87">
        <v>0</v>
      </c>
      <c r="G14" s="85" t="s">
        <v>64</v>
      </c>
      <c r="H14" s="196"/>
      <c r="I14" s="89">
        <v>0</v>
      </c>
      <c r="J14" s="85" t="s">
        <v>65</v>
      </c>
      <c r="K14" s="85" t="s">
        <v>64</v>
      </c>
      <c r="L14" s="85" t="s">
        <v>64</v>
      </c>
      <c r="M14" s="85" t="s">
        <v>65</v>
      </c>
      <c r="N14" s="192">
        <f t="shared" si="0"/>
        <v>0</v>
      </c>
      <c r="O14" s="193">
        <f t="shared" si="1"/>
        <v>0</v>
      </c>
      <c r="P14" s="138" t="s">
        <v>66</v>
      </c>
      <c r="Q14" s="138">
        <v>1</v>
      </c>
      <c r="R14" s="138" t="s">
        <v>169</v>
      </c>
      <c r="S14" s="94" t="s">
        <v>150</v>
      </c>
      <c r="T14" s="137" t="s">
        <v>67</v>
      </c>
      <c r="V14" s="83" t="str">
        <f t="shared" si="2"/>
        <v>3040000CCLRSCHOLZ-ECO0CONTINGENCY</v>
      </c>
      <c r="W14" s="83"/>
    </row>
    <row r="15" spans="1:34" x14ac:dyDescent="0.25">
      <c r="A15" s="85" t="s">
        <v>63</v>
      </c>
      <c r="B15" s="86" t="s">
        <v>157</v>
      </c>
      <c r="C15" s="86">
        <v>1</v>
      </c>
      <c r="D15" s="85" t="s">
        <v>68</v>
      </c>
      <c r="E15" s="85" t="s">
        <v>191</v>
      </c>
      <c r="F15" s="87">
        <v>0</v>
      </c>
      <c r="G15" s="85" t="s">
        <v>64</v>
      </c>
      <c r="H15" s="196"/>
      <c r="I15" s="89">
        <v>0</v>
      </c>
      <c r="J15" s="85" t="s">
        <v>65</v>
      </c>
      <c r="K15" s="85" t="s">
        <v>64</v>
      </c>
      <c r="L15" s="85" t="s">
        <v>64</v>
      </c>
      <c r="M15" s="85" t="s">
        <v>65</v>
      </c>
      <c r="N15" s="192">
        <f t="shared" si="0"/>
        <v>0</v>
      </c>
      <c r="O15" s="193">
        <f t="shared" si="1"/>
        <v>0</v>
      </c>
      <c r="P15" s="138" t="s">
        <v>72</v>
      </c>
      <c r="Q15" s="138">
        <v>1</v>
      </c>
      <c r="R15" s="138" t="s">
        <v>169</v>
      </c>
      <c r="S15" s="94" t="s">
        <v>150</v>
      </c>
      <c r="T15" s="137" t="s">
        <v>67</v>
      </c>
      <c r="V15" s="83" t="str">
        <f t="shared" si="2"/>
        <v>304000011LRSCHOLZ-NON0CONTINGENCY</v>
      </c>
      <c r="W15" s="83"/>
    </row>
    <row r="16" spans="1:34" s="76" customFormat="1" x14ac:dyDescent="0.25">
      <c r="A16" s="85" t="s">
        <v>63</v>
      </c>
      <c r="B16" s="86" t="s">
        <v>157</v>
      </c>
      <c r="C16" s="86">
        <v>2</v>
      </c>
      <c r="D16" s="85" t="s">
        <v>69</v>
      </c>
      <c r="E16" s="85" t="s">
        <v>191</v>
      </c>
      <c r="F16" s="87">
        <v>0</v>
      </c>
      <c r="G16" s="85" t="s">
        <v>64</v>
      </c>
      <c r="H16" s="195"/>
      <c r="I16" s="89">
        <v>0</v>
      </c>
      <c r="J16" s="85" t="s">
        <v>65</v>
      </c>
      <c r="K16" s="85" t="s">
        <v>64</v>
      </c>
      <c r="L16" s="85" t="s">
        <v>64</v>
      </c>
      <c r="M16" s="85" t="s">
        <v>65</v>
      </c>
      <c r="N16" s="192">
        <f t="shared" si="0"/>
        <v>0</v>
      </c>
      <c r="O16" s="193">
        <f t="shared" si="1"/>
        <v>0</v>
      </c>
      <c r="P16" s="138" t="s">
        <v>72</v>
      </c>
      <c r="Q16" s="138">
        <v>1</v>
      </c>
      <c r="R16" s="138" t="s">
        <v>169</v>
      </c>
      <c r="S16" s="94" t="s">
        <v>150</v>
      </c>
      <c r="T16" s="137" t="s">
        <v>67</v>
      </c>
      <c r="U16" s="137"/>
      <c r="V16" s="83" t="str">
        <f t="shared" si="2"/>
        <v>304000022LRSCHOLZ-NON0CONTINGENCY</v>
      </c>
      <c r="W16" s="83"/>
      <c r="AD16" s="140"/>
      <c r="AE16" s="140"/>
      <c r="AF16" s="140"/>
      <c r="AG16" s="140"/>
      <c r="AH16" s="140"/>
    </row>
    <row r="17" spans="1:34" s="139" customFormat="1" x14ac:dyDescent="0.25">
      <c r="A17" s="85" t="s">
        <v>63</v>
      </c>
      <c r="B17" s="86" t="s">
        <v>157</v>
      </c>
      <c r="C17" s="86" t="s">
        <v>70</v>
      </c>
      <c r="D17" s="85" t="s">
        <v>71</v>
      </c>
      <c r="E17" s="85" t="s">
        <v>191</v>
      </c>
      <c r="F17" s="87">
        <v>0</v>
      </c>
      <c r="G17" s="85" t="s">
        <v>64</v>
      </c>
      <c r="H17" s="196"/>
      <c r="I17" s="89">
        <v>0</v>
      </c>
      <c r="J17" s="85" t="s">
        <v>65</v>
      </c>
      <c r="K17" s="85" t="s">
        <v>64</v>
      </c>
      <c r="L17" s="85" t="s">
        <v>64</v>
      </c>
      <c r="M17" s="85" t="s">
        <v>65</v>
      </c>
      <c r="N17" s="192">
        <f t="shared" si="0"/>
        <v>0</v>
      </c>
      <c r="O17" s="193">
        <f t="shared" si="1"/>
        <v>0</v>
      </c>
      <c r="P17" s="138" t="s">
        <v>72</v>
      </c>
      <c r="Q17" s="138">
        <v>1</v>
      </c>
      <c r="R17" s="138" t="s">
        <v>169</v>
      </c>
      <c r="S17" s="94" t="s">
        <v>150</v>
      </c>
      <c r="T17" s="137" t="s">
        <v>67</v>
      </c>
      <c r="U17" s="137"/>
      <c r="V17" s="83" t="str">
        <f t="shared" si="2"/>
        <v>3040000CCLRSCHOLZ-NON0CONTINGENCY</v>
      </c>
      <c r="W17" s="83"/>
      <c r="AD17" s="140"/>
      <c r="AE17" s="140"/>
      <c r="AF17" s="140"/>
      <c r="AG17" s="140"/>
      <c r="AH17" s="140"/>
    </row>
    <row r="18" spans="1:34" s="139" customFormat="1" x14ac:dyDescent="0.25">
      <c r="A18" s="85" t="s">
        <v>80</v>
      </c>
      <c r="B18" s="86" t="s">
        <v>158</v>
      </c>
      <c r="C18" s="86" t="s">
        <v>70</v>
      </c>
      <c r="D18" s="85" t="s">
        <v>71</v>
      </c>
      <c r="E18" s="85" t="s">
        <v>191</v>
      </c>
      <c r="F18" s="128">
        <v>1</v>
      </c>
      <c r="G18" s="85" t="s">
        <v>81</v>
      </c>
      <c r="H18" s="89">
        <f>'Scholz Data'!$E$10</f>
        <v>150000</v>
      </c>
      <c r="I18" s="194">
        <f>'Scholz Data'!$F$10</f>
        <v>150000</v>
      </c>
      <c r="J18" s="85" t="s">
        <v>82</v>
      </c>
      <c r="K18" s="85" t="s">
        <v>64</v>
      </c>
      <c r="L18" s="85" t="s">
        <v>64</v>
      </c>
      <c r="M18" s="85" t="s">
        <v>82</v>
      </c>
      <c r="N18" s="192">
        <f t="shared" si="0"/>
        <v>150000</v>
      </c>
      <c r="O18" s="193">
        <f t="shared" si="1"/>
        <v>150000</v>
      </c>
      <c r="P18" s="138" t="s">
        <v>72</v>
      </c>
      <c r="Q18" s="138">
        <v>1</v>
      </c>
      <c r="R18" s="138" t="s">
        <v>169</v>
      </c>
      <c r="S18" s="94" t="s">
        <v>150</v>
      </c>
      <c r="T18" s="137" t="s">
        <v>83</v>
      </c>
      <c r="U18" s="137"/>
      <c r="V18" s="83" t="str">
        <f t="shared" si="2"/>
        <v>3070201MOCCLRSCHOLZ-NON1LT150000CONTRACTOR MOBILIZATION</v>
      </c>
      <c r="W18" s="83"/>
      <c r="AD18" s="140"/>
      <c r="AE18" s="140"/>
      <c r="AF18" s="140"/>
      <c r="AG18" s="140"/>
      <c r="AH18" s="140"/>
    </row>
    <row r="19" spans="1:34" x14ac:dyDescent="0.25">
      <c r="A19" s="85" t="s">
        <v>87</v>
      </c>
      <c r="B19" s="86" t="s">
        <v>156</v>
      </c>
      <c r="C19" s="86" t="s">
        <v>70</v>
      </c>
      <c r="D19" s="85" t="s">
        <v>71</v>
      </c>
      <c r="E19" s="85" t="s">
        <v>191</v>
      </c>
      <c r="F19" s="87">
        <v>1</v>
      </c>
      <c r="G19" s="85" t="s">
        <v>21</v>
      </c>
      <c r="H19" s="89">
        <f>'Scholz Data'!$E$5</f>
        <v>50000</v>
      </c>
      <c r="I19" s="194">
        <f>'Scholz Data'!$F$5</f>
        <v>50000</v>
      </c>
      <c r="J19" s="85" t="s">
        <v>20</v>
      </c>
      <c r="K19" s="85" t="s">
        <v>64</v>
      </c>
      <c r="L19" s="85" t="s">
        <v>64</v>
      </c>
      <c r="M19" s="85" t="s">
        <v>20</v>
      </c>
      <c r="N19" s="192">
        <f t="shared" si="0"/>
        <v>50000</v>
      </c>
      <c r="O19" s="193">
        <f t="shared" si="1"/>
        <v>50000</v>
      </c>
      <c r="P19" s="138" t="s">
        <v>72</v>
      </c>
      <c r="Q19" s="138">
        <v>1</v>
      </c>
      <c r="R19" s="138" t="s">
        <v>169</v>
      </c>
      <c r="S19" s="94" t="s">
        <v>150</v>
      </c>
      <c r="T19" s="137" t="s">
        <v>83</v>
      </c>
      <c r="V19" s="83" t="str">
        <f t="shared" si="2"/>
        <v>3080241CCLRSCHOLZ-NON1ls50000Design bulkhead for intake and discharge tunnel</v>
      </c>
      <c r="W19" s="83"/>
      <c r="AD19" s="140"/>
      <c r="AE19" s="140"/>
      <c r="AF19" s="140"/>
      <c r="AG19" s="140"/>
      <c r="AH19" s="140"/>
    </row>
    <row r="20" spans="1:34" x14ac:dyDescent="0.25">
      <c r="A20" s="85" t="s">
        <v>127</v>
      </c>
      <c r="B20" s="86" t="s">
        <v>161</v>
      </c>
      <c r="C20" s="86">
        <v>1</v>
      </c>
      <c r="D20" s="85" t="s">
        <v>107</v>
      </c>
      <c r="E20" s="85" t="s">
        <v>191</v>
      </c>
      <c r="F20" s="90">
        <f>'Scholz Data'!$D$47/2</f>
        <v>1244.5</v>
      </c>
      <c r="G20" s="85" t="s">
        <v>34</v>
      </c>
      <c r="H20" s="89">
        <f>'Scholz Data'!$E$47</f>
        <v>66.325999999999993</v>
      </c>
      <c r="I20" s="194">
        <f>'Scholz Data'!$F$47/2</f>
        <v>80892.5</v>
      </c>
      <c r="J20" s="85" t="s">
        <v>51</v>
      </c>
      <c r="K20" s="85" t="s">
        <v>64</v>
      </c>
      <c r="L20" s="85" t="s">
        <v>64</v>
      </c>
      <c r="M20" s="85" t="s">
        <v>51</v>
      </c>
      <c r="N20" s="192">
        <f t="shared" si="0"/>
        <v>66.325999999999993</v>
      </c>
      <c r="O20" s="193">
        <f t="shared" si="1"/>
        <v>80892.5</v>
      </c>
      <c r="P20" s="138" t="s">
        <v>72</v>
      </c>
      <c r="Q20" s="138">
        <v>1</v>
      </c>
      <c r="R20" s="138" t="s">
        <v>169</v>
      </c>
      <c r="S20" s="94" t="s">
        <v>153</v>
      </c>
      <c r="T20" s="137" t="s">
        <v>83</v>
      </c>
      <c r="U20" s="137" t="s">
        <v>101</v>
      </c>
      <c r="V20" s="83" t="str">
        <f t="shared" si="2"/>
        <v>312UND11LDSCHOLZ-NON1244.5nt66.326Dispose of Refractory in Subtitle D Landfill</v>
      </c>
      <c r="W20" s="83"/>
      <c r="AD20" s="140"/>
      <c r="AE20" s="140"/>
      <c r="AF20" s="140"/>
      <c r="AG20" s="140"/>
      <c r="AH20" s="140"/>
    </row>
    <row r="21" spans="1:34" x14ac:dyDescent="0.25">
      <c r="A21" s="85" t="s">
        <v>127</v>
      </c>
      <c r="B21" s="86" t="s">
        <v>161</v>
      </c>
      <c r="C21" s="86">
        <v>2</v>
      </c>
      <c r="D21" s="85" t="s">
        <v>109</v>
      </c>
      <c r="E21" s="85" t="s">
        <v>191</v>
      </c>
      <c r="F21" s="90">
        <f>'Scholz Data'!$D$47/2</f>
        <v>1244.5</v>
      </c>
      <c r="G21" s="85" t="s">
        <v>34</v>
      </c>
      <c r="H21" s="89">
        <f>'Scholz Data'!$E$47</f>
        <v>66.325999999999993</v>
      </c>
      <c r="I21" s="194">
        <f>'Scholz Data'!$F$47/2</f>
        <v>80892.5</v>
      </c>
      <c r="J21" s="85" t="s">
        <v>51</v>
      </c>
      <c r="K21" s="85" t="s">
        <v>64</v>
      </c>
      <c r="L21" s="85" t="s">
        <v>64</v>
      </c>
      <c r="M21" s="85" t="s">
        <v>51</v>
      </c>
      <c r="N21" s="192">
        <f t="shared" si="0"/>
        <v>66.325999999999993</v>
      </c>
      <c r="O21" s="193">
        <f t="shared" si="1"/>
        <v>80892.5</v>
      </c>
      <c r="P21" s="138" t="s">
        <v>72</v>
      </c>
      <c r="Q21" s="138">
        <v>1</v>
      </c>
      <c r="R21" s="138" t="s">
        <v>169</v>
      </c>
      <c r="S21" s="94" t="s">
        <v>153</v>
      </c>
      <c r="T21" s="137" t="s">
        <v>83</v>
      </c>
      <c r="U21" s="137" t="s">
        <v>101</v>
      </c>
      <c r="V21" s="83" t="str">
        <f t="shared" si="2"/>
        <v>312UND22LDSCHOLZ-NON1244.5nt66.326Dispose of Refractory in Subtitle D Landfill</v>
      </c>
      <c r="W21" s="83"/>
      <c r="AD21" s="140"/>
      <c r="AE21" s="140"/>
      <c r="AF21" s="140"/>
      <c r="AG21" s="140"/>
      <c r="AH21" s="140"/>
    </row>
    <row r="22" spans="1:34" x14ac:dyDescent="0.25">
      <c r="A22" s="85" t="s">
        <v>100</v>
      </c>
      <c r="B22" s="86" t="s">
        <v>155</v>
      </c>
      <c r="C22" s="86" t="s">
        <v>70</v>
      </c>
      <c r="D22" s="85" t="s">
        <v>71</v>
      </c>
      <c r="E22" s="85" t="s">
        <v>191</v>
      </c>
      <c r="F22" s="90">
        <f>'Scholz Data'!$D$15</f>
        <v>550000</v>
      </c>
      <c r="G22" s="85" t="s">
        <v>27</v>
      </c>
      <c r="H22" s="89">
        <f>'Scholz Data'!$E$15</f>
        <v>0.25509999999999999</v>
      </c>
      <c r="I22" s="194">
        <f>'Scholz Data'!$F$15</f>
        <v>137500</v>
      </c>
      <c r="J22" s="85" t="s">
        <v>31</v>
      </c>
      <c r="K22" s="85" t="s">
        <v>64</v>
      </c>
      <c r="L22" s="85" t="s">
        <v>64</v>
      </c>
      <c r="M22" s="85" t="s">
        <v>31</v>
      </c>
      <c r="N22" s="192">
        <f t="shared" si="0"/>
        <v>0.25509999999999999</v>
      </c>
      <c r="O22" s="193">
        <f t="shared" si="1"/>
        <v>137500</v>
      </c>
      <c r="P22" s="138" t="s">
        <v>72</v>
      </c>
      <c r="Q22" s="138">
        <v>1</v>
      </c>
      <c r="R22" s="138" t="s">
        <v>169</v>
      </c>
      <c r="S22" s="94" t="s">
        <v>150</v>
      </c>
      <c r="T22" s="137" t="s">
        <v>83</v>
      </c>
      <c r="U22" s="137" t="s">
        <v>101</v>
      </c>
      <c r="V22" s="83" t="str">
        <f t="shared" si="2"/>
        <v>3110001LCCCLRSCHOLZ-NON550000sf0.2551Grade and Seeding</v>
      </c>
      <c r="W22" s="83"/>
    </row>
    <row r="23" spans="1:34" x14ac:dyDescent="0.25">
      <c r="A23" s="85" t="s">
        <v>136</v>
      </c>
      <c r="B23" s="86" t="s">
        <v>162</v>
      </c>
      <c r="C23" s="86" t="s">
        <v>70</v>
      </c>
      <c r="D23" s="85" t="s">
        <v>71</v>
      </c>
      <c r="E23" s="85" t="s">
        <v>191</v>
      </c>
      <c r="F23" s="90">
        <f>'Scholz Data'!$D$13</f>
        <v>1</v>
      </c>
      <c r="G23" s="85" t="s">
        <v>21</v>
      </c>
      <c r="H23" s="89">
        <f>'Scholz Data'!$E$13</f>
        <v>150000</v>
      </c>
      <c r="I23" s="194">
        <f>'Scholz Data'!$F$13</f>
        <v>150000</v>
      </c>
      <c r="J23" s="85" t="s">
        <v>29</v>
      </c>
      <c r="K23" s="85" t="s">
        <v>64</v>
      </c>
      <c r="L23" s="85" t="s">
        <v>64</v>
      </c>
      <c r="M23" s="85" t="s">
        <v>29</v>
      </c>
      <c r="N23" s="192">
        <f t="shared" si="0"/>
        <v>150000</v>
      </c>
      <c r="O23" s="193">
        <f t="shared" si="1"/>
        <v>150000</v>
      </c>
      <c r="P23" s="138" t="s">
        <v>72</v>
      </c>
      <c r="Q23" s="138">
        <v>1</v>
      </c>
      <c r="R23" s="138" t="s">
        <v>169</v>
      </c>
      <c r="S23" s="94" t="s">
        <v>150</v>
      </c>
      <c r="T23" s="137" t="s">
        <v>83</v>
      </c>
      <c r="U23" s="137" t="s">
        <v>101</v>
      </c>
      <c r="V23" s="83" t="str">
        <f t="shared" si="2"/>
        <v>314052102CCLRSCHOLZ-NON1ls150000Install Bulkhead in Intake &amp; Discharge Tunnel</v>
      </c>
      <c r="W23" s="83"/>
    </row>
    <row r="24" spans="1:34" x14ac:dyDescent="0.25">
      <c r="A24" s="85" t="s">
        <v>86</v>
      </c>
      <c r="B24" s="86" t="s">
        <v>158</v>
      </c>
      <c r="C24" s="86" t="s">
        <v>70</v>
      </c>
      <c r="D24" s="85" t="s">
        <v>71</v>
      </c>
      <c r="E24" s="85" t="s">
        <v>191</v>
      </c>
      <c r="F24" s="87">
        <v>1</v>
      </c>
      <c r="G24" s="85" t="s">
        <v>21</v>
      </c>
      <c r="H24" s="89">
        <f>'Scholz Data'!$E$14</f>
        <v>100000</v>
      </c>
      <c r="I24" s="194">
        <f>'Scholz Data'!$F$14</f>
        <v>100000</v>
      </c>
      <c r="J24" s="85" t="s">
        <v>167</v>
      </c>
      <c r="K24" s="85" t="s">
        <v>64</v>
      </c>
      <c r="L24" s="85" t="s">
        <v>64</v>
      </c>
      <c r="M24" s="85" t="s">
        <v>30</v>
      </c>
      <c r="N24" s="192">
        <f t="shared" si="0"/>
        <v>100000</v>
      </c>
      <c r="O24" s="193">
        <f t="shared" si="1"/>
        <v>100000</v>
      </c>
      <c r="P24" s="138" t="s">
        <v>72</v>
      </c>
      <c r="Q24" s="138">
        <v>1</v>
      </c>
      <c r="R24" s="138" t="s">
        <v>169</v>
      </c>
      <c r="S24" s="94" t="s">
        <v>150</v>
      </c>
      <c r="T24" s="137" t="s">
        <v>83</v>
      </c>
      <c r="V24" s="83" t="str">
        <f t="shared" si="2"/>
        <v>307UNDCCLRSCHOLZ-NON1ls100000Install Electrical for Decommissioning Work</v>
      </c>
      <c r="W24" s="83"/>
    </row>
    <row r="25" spans="1:34" x14ac:dyDescent="0.25">
      <c r="A25" s="85" t="s">
        <v>123</v>
      </c>
      <c r="B25" s="86" t="s">
        <v>161</v>
      </c>
      <c r="C25" s="86">
        <v>1</v>
      </c>
      <c r="D25" s="85" t="s">
        <v>68</v>
      </c>
      <c r="E25" s="85" t="s">
        <v>194</v>
      </c>
      <c r="F25" s="91">
        <f>227819/2</f>
        <v>113909.5</v>
      </c>
      <c r="G25" s="85" t="s">
        <v>126</v>
      </c>
      <c r="H25" s="197">
        <f>I25/F25</f>
        <v>6.5865840864897134</v>
      </c>
      <c r="I25" s="194">
        <f>(1608781-108232)/2</f>
        <v>750274.5</v>
      </c>
      <c r="J25" s="85" t="s">
        <v>193</v>
      </c>
      <c r="K25" s="85" t="s">
        <v>64</v>
      </c>
      <c r="L25" s="85" t="s">
        <v>64</v>
      </c>
      <c r="M25" s="85" t="s">
        <v>125</v>
      </c>
      <c r="N25" s="192">
        <f t="shared" si="0"/>
        <v>6.5865840864897134</v>
      </c>
      <c r="O25" s="193">
        <f t="shared" si="1"/>
        <v>750274.5</v>
      </c>
      <c r="P25" s="138" t="s">
        <v>73</v>
      </c>
      <c r="Q25" s="138">
        <v>1</v>
      </c>
      <c r="R25" s="138" t="s">
        <v>169</v>
      </c>
      <c r="S25" s="94" t="s">
        <v>150</v>
      </c>
      <c r="T25" s="137" t="s">
        <v>67</v>
      </c>
      <c r="U25" s="137" t="s">
        <v>101</v>
      </c>
      <c r="V25" s="83" t="str">
        <f t="shared" si="2"/>
        <v>3120000AA11LRSCHOLZ-ASB113909.5SF6.58658408648971INSULATION (ASBESTOS)</v>
      </c>
      <c r="W25" s="83"/>
    </row>
    <row r="26" spans="1:34" x14ac:dyDescent="0.25">
      <c r="A26" s="85" t="s">
        <v>123</v>
      </c>
      <c r="B26" s="86" t="s">
        <v>161</v>
      </c>
      <c r="C26" s="86">
        <v>1</v>
      </c>
      <c r="D26" s="85" t="s">
        <v>107</v>
      </c>
      <c r="E26" s="85" t="s">
        <v>194</v>
      </c>
      <c r="F26" s="87">
        <f>570/2</f>
        <v>285</v>
      </c>
      <c r="G26" s="85" t="s">
        <v>124</v>
      </c>
      <c r="H26" s="198">
        <v>345.38903725057997</v>
      </c>
      <c r="I26" s="194">
        <f>108232/2</f>
        <v>54116</v>
      </c>
      <c r="J26" s="85" t="s">
        <v>193</v>
      </c>
      <c r="K26" s="85" t="s">
        <v>64</v>
      </c>
      <c r="L26" s="85" t="s">
        <v>64</v>
      </c>
      <c r="M26" s="85" t="s">
        <v>125</v>
      </c>
      <c r="N26" s="192">
        <f t="shared" si="0"/>
        <v>345.38903725057997</v>
      </c>
      <c r="O26" s="193">
        <f t="shared" si="1"/>
        <v>54116</v>
      </c>
      <c r="P26" s="138" t="s">
        <v>73</v>
      </c>
      <c r="Q26" s="138">
        <v>1</v>
      </c>
      <c r="R26" s="138" t="s">
        <v>169</v>
      </c>
      <c r="S26" s="94" t="s">
        <v>153</v>
      </c>
      <c r="T26" s="137" t="s">
        <v>67</v>
      </c>
      <c r="U26" s="137" t="s">
        <v>101</v>
      </c>
      <c r="V26" s="83" t="str">
        <f t="shared" si="2"/>
        <v>3120000AA11LDSCHOLZ-ASB285TN345.38903725058INSULATION (ASBESTOS)</v>
      </c>
      <c r="W26" s="83"/>
    </row>
    <row r="27" spans="1:34" x14ac:dyDescent="0.25">
      <c r="A27" s="85" t="s">
        <v>123</v>
      </c>
      <c r="B27" s="86" t="s">
        <v>161</v>
      </c>
      <c r="C27" s="86">
        <v>2</v>
      </c>
      <c r="D27" s="85" t="s">
        <v>69</v>
      </c>
      <c r="E27" s="85" t="s">
        <v>194</v>
      </c>
      <c r="F27" s="91">
        <f>227819/2</f>
        <v>113909.5</v>
      </c>
      <c r="G27" s="85" t="s">
        <v>126</v>
      </c>
      <c r="H27" s="197">
        <f>I27/F27</f>
        <v>6.5865840864897134</v>
      </c>
      <c r="I27" s="194">
        <f>(1608781-108232)/2</f>
        <v>750274.5</v>
      </c>
      <c r="J27" s="85" t="s">
        <v>193</v>
      </c>
      <c r="K27" s="85" t="s">
        <v>64</v>
      </c>
      <c r="L27" s="85" t="s">
        <v>64</v>
      </c>
      <c r="M27" s="85" t="s">
        <v>125</v>
      </c>
      <c r="N27" s="192">
        <f t="shared" si="0"/>
        <v>6.5865840864897134</v>
      </c>
      <c r="O27" s="193">
        <f t="shared" si="1"/>
        <v>750274.5</v>
      </c>
      <c r="P27" s="138" t="s">
        <v>73</v>
      </c>
      <c r="Q27" s="138">
        <v>1</v>
      </c>
      <c r="R27" s="138" t="s">
        <v>169</v>
      </c>
      <c r="S27" s="94" t="s">
        <v>150</v>
      </c>
      <c r="T27" s="137" t="s">
        <v>67</v>
      </c>
      <c r="U27" s="137" t="s">
        <v>101</v>
      </c>
      <c r="V27" s="83" t="str">
        <f t="shared" si="2"/>
        <v>3120000AA22LRSCHOLZ-ASB113909.5SF6.58658408648971INSULATION (ASBESTOS)</v>
      </c>
      <c r="W27" s="83"/>
    </row>
    <row r="28" spans="1:34" x14ac:dyDescent="0.25">
      <c r="A28" s="85" t="s">
        <v>123</v>
      </c>
      <c r="B28" s="86" t="s">
        <v>161</v>
      </c>
      <c r="C28" s="86">
        <v>2</v>
      </c>
      <c r="D28" s="85" t="s">
        <v>109</v>
      </c>
      <c r="E28" s="85" t="s">
        <v>194</v>
      </c>
      <c r="F28" s="87">
        <f>570/2</f>
        <v>285</v>
      </c>
      <c r="G28" s="85" t="s">
        <v>124</v>
      </c>
      <c r="H28" s="198">
        <v>345.38903725057997</v>
      </c>
      <c r="I28" s="194">
        <f>108232/2</f>
        <v>54116</v>
      </c>
      <c r="J28" s="85" t="s">
        <v>193</v>
      </c>
      <c r="K28" s="85" t="s">
        <v>64</v>
      </c>
      <c r="L28" s="85" t="s">
        <v>64</v>
      </c>
      <c r="M28" s="85" t="s">
        <v>125</v>
      </c>
      <c r="N28" s="192">
        <f t="shared" si="0"/>
        <v>345.38903725057997</v>
      </c>
      <c r="O28" s="193">
        <f t="shared" si="1"/>
        <v>54116</v>
      </c>
      <c r="P28" s="138" t="s">
        <v>73</v>
      </c>
      <c r="Q28" s="138">
        <v>1</v>
      </c>
      <c r="R28" s="138" t="s">
        <v>169</v>
      </c>
      <c r="S28" s="94" t="s">
        <v>153</v>
      </c>
      <c r="T28" s="137" t="s">
        <v>67</v>
      </c>
      <c r="U28" s="137" t="s">
        <v>101</v>
      </c>
      <c r="V28" s="83" t="str">
        <f t="shared" si="2"/>
        <v>3120000AA22LDSCHOLZ-ASB285TN345.38903725058INSULATION (ASBESTOS)</v>
      </c>
      <c r="W28" s="83"/>
    </row>
    <row r="29" spans="1:34" x14ac:dyDescent="0.25">
      <c r="A29" s="85" t="s">
        <v>127</v>
      </c>
      <c r="B29" s="86" t="s">
        <v>161</v>
      </c>
      <c r="C29" s="86">
        <v>1</v>
      </c>
      <c r="D29" s="85" t="s">
        <v>68</v>
      </c>
      <c r="E29" s="85" t="s">
        <v>191</v>
      </c>
      <c r="F29" s="97">
        <f>'Scholz Data'!$D$26/2</f>
        <v>0.5</v>
      </c>
      <c r="G29" s="85" t="s">
        <v>43</v>
      </c>
      <c r="H29" s="89">
        <f>'Scholz Data'!$E$26</f>
        <v>50000</v>
      </c>
      <c r="I29" s="194">
        <f>'Scholz Data'!$F$26/2</f>
        <v>25000</v>
      </c>
      <c r="J29" s="85" t="s">
        <v>189</v>
      </c>
      <c r="K29" s="85" t="s">
        <v>64</v>
      </c>
      <c r="L29" s="85" t="s">
        <v>64</v>
      </c>
      <c r="M29" s="85" t="str">
        <f>J29</f>
        <v>Main Power Block - 150' Stacks</v>
      </c>
      <c r="N29" s="192">
        <f t="shared" si="0"/>
        <v>50000</v>
      </c>
      <c r="O29" s="193">
        <f t="shared" si="1"/>
        <v>25000</v>
      </c>
      <c r="P29" s="138" t="s">
        <v>72</v>
      </c>
      <c r="Q29" s="138">
        <v>1</v>
      </c>
      <c r="R29" s="138" t="s">
        <v>169</v>
      </c>
      <c r="S29" s="94" t="s">
        <v>150</v>
      </c>
      <c r="T29" s="137" t="s">
        <v>83</v>
      </c>
      <c r="U29" s="137" t="s">
        <v>101</v>
      </c>
      <c r="V29" s="83" t="str">
        <f t="shared" si="2"/>
        <v>312UND11LRSCHOLZ-NON0.5ea50000Main Power Block - 150' Stacks</v>
      </c>
      <c r="W29" s="83"/>
    </row>
    <row r="30" spans="1:34" x14ac:dyDescent="0.25">
      <c r="A30" s="85" t="s">
        <v>127</v>
      </c>
      <c r="B30" s="86" t="s">
        <v>161</v>
      </c>
      <c r="C30" s="86">
        <v>2</v>
      </c>
      <c r="D30" s="85" t="s">
        <v>69</v>
      </c>
      <c r="E30" s="85" t="s">
        <v>191</v>
      </c>
      <c r="F30" s="97">
        <f>'Scholz Data'!$D$26/2</f>
        <v>0.5</v>
      </c>
      <c r="G30" s="85" t="s">
        <v>43</v>
      </c>
      <c r="H30" s="89">
        <f>'Scholz Data'!$E$26</f>
        <v>50000</v>
      </c>
      <c r="I30" s="194">
        <f>'Scholz Data'!$F$26/2</f>
        <v>25000</v>
      </c>
      <c r="J30" s="85" t="s">
        <v>189</v>
      </c>
      <c r="K30" s="85" t="s">
        <v>64</v>
      </c>
      <c r="L30" s="85" t="s">
        <v>64</v>
      </c>
      <c r="M30" s="85" t="str">
        <f>J30</f>
        <v>Main Power Block - 150' Stacks</v>
      </c>
      <c r="N30" s="192">
        <f t="shared" si="0"/>
        <v>50000</v>
      </c>
      <c r="O30" s="193">
        <f t="shared" si="1"/>
        <v>25000</v>
      </c>
      <c r="P30" s="138" t="s">
        <v>72</v>
      </c>
      <c r="Q30" s="138">
        <v>1</v>
      </c>
      <c r="R30" s="138" t="s">
        <v>169</v>
      </c>
      <c r="S30" s="94" t="s">
        <v>150</v>
      </c>
      <c r="T30" s="137" t="s">
        <v>83</v>
      </c>
      <c r="U30" s="137" t="s">
        <v>101</v>
      </c>
      <c r="V30" s="83" t="str">
        <f t="shared" si="2"/>
        <v>312UND22LRSCHOLZ-NON0.5ea50000Main Power Block - 150' Stacks</v>
      </c>
      <c r="W30" s="83"/>
    </row>
    <row r="31" spans="1:34" x14ac:dyDescent="0.25">
      <c r="A31" s="85" t="s">
        <v>127</v>
      </c>
      <c r="B31" s="86" t="s">
        <v>161</v>
      </c>
      <c r="C31" s="86">
        <v>1</v>
      </c>
      <c r="D31" s="85" t="s">
        <v>120</v>
      </c>
      <c r="E31" s="85" t="s">
        <v>191</v>
      </c>
      <c r="F31" s="90">
        <f>'Scholz Data'!$D$20/2</f>
        <v>19146.797999999999</v>
      </c>
      <c r="G31" s="85" t="s">
        <v>37</v>
      </c>
      <c r="H31" s="89">
        <f>'Scholz Data'!$E$20</f>
        <v>-0.38793301271641789</v>
      </c>
      <c r="I31" s="194">
        <f>'Scholz Data'!$F$20/2</f>
        <v>-7474.8091665789443</v>
      </c>
      <c r="J31" s="85" t="s">
        <v>128</v>
      </c>
      <c r="K31" s="85" t="s">
        <v>129</v>
      </c>
      <c r="L31" s="85" t="s">
        <v>64</v>
      </c>
      <c r="M31" s="85" t="s">
        <v>235</v>
      </c>
      <c r="N31" s="192">
        <f t="shared" si="0"/>
        <v>-0.38793301271641789</v>
      </c>
      <c r="O31" s="193">
        <f t="shared" si="1"/>
        <v>-7474.8091665789443</v>
      </c>
      <c r="P31" s="138" t="s">
        <v>72</v>
      </c>
      <c r="Q31" s="138">
        <v>1</v>
      </c>
      <c r="R31" s="138" t="s">
        <v>169</v>
      </c>
      <c r="S31" s="94" t="s">
        <v>152</v>
      </c>
      <c r="T31" s="137" t="s">
        <v>83</v>
      </c>
      <c r="U31" s="137" t="s">
        <v>101</v>
      </c>
      <c r="V31" s="83" t="str">
        <f t="shared" si="2"/>
        <v>312UND11MSSCHOLZ-NON19146.798lbs-0.387933012716418Main Power Block - AL Sales</v>
      </c>
      <c r="W31" s="83"/>
    </row>
    <row r="32" spans="1:34" x14ac:dyDescent="0.25">
      <c r="A32" s="85" t="s">
        <v>127</v>
      </c>
      <c r="B32" s="86" t="s">
        <v>161</v>
      </c>
      <c r="C32" s="86">
        <v>2</v>
      </c>
      <c r="D32" s="85" t="s">
        <v>122</v>
      </c>
      <c r="E32" s="85" t="s">
        <v>191</v>
      </c>
      <c r="F32" s="90">
        <f>'Scholz Data'!$D$20/2</f>
        <v>19146.797999999999</v>
      </c>
      <c r="G32" s="85" t="s">
        <v>37</v>
      </c>
      <c r="H32" s="89">
        <f>'Scholz Data'!$E$20</f>
        <v>-0.38793301271641789</v>
      </c>
      <c r="I32" s="194">
        <f>'Scholz Data'!$F$20/2</f>
        <v>-7474.8091665789443</v>
      </c>
      <c r="J32" s="85" t="s">
        <v>128</v>
      </c>
      <c r="K32" s="85" t="s">
        <v>129</v>
      </c>
      <c r="L32" s="85" t="s">
        <v>64</v>
      </c>
      <c r="M32" s="85" t="s">
        <v>235</v>
      </c>
      <c r="N32" s="192">
        <f t="shared" si="0"/>
        <v>-0.38793301271641789</v>
      </c>
      <c r="O32" s="193">
        <f t="shared" si="1"/>
        <v>-7474.8091665789443</v>
      </c>
      <c r="P32" s="138" t="s">
        <v>72</v>
      </c>
      <c r="Q32" s="138">
        <v>1</v>
      </c>
      <c r="R32" s="138" t="s">
        <v>169</v>
      </c>
      <c r="S32" s="94" t="s">
        <v>152</v>
      </c>
      <c r="T32" s="137" t="s">
        <v>83</v>
      </c>
      <c r="U32" s="137" t="s">
        <v>101</v>
      </c>
      <c r="V32" s="83" t="str">
        <f t="shared" si="2"/>
        <v>312UND22MSSCHOLZ-NON19146.798lbs-0.387933012716418Main Power Block - AL Sales</v>
      </c>
      <c r="W32" s="83"/>
    </row>
    <row r="33" spans="1:23" x14ac:dyDescent="0.25">
      <c r="A33" s="85" t="s">
        <v>111</v>
      </c>
      <c r="B33" s="86" t="s">
        <v>155</v>
      </c>
      <c r="C33" s="86">
        <v>1</v>
      </c>
      <c r="D33" s="85" t="s">
        <v>68</v>
      </c>
      <c r="E33" s="85" t="s">
        <v>191</v>
      </c>
      <c r="F33" s="90">
        <f>'Scholz Data'!$D$31/2</f>
        <v>16923.111111111109</v>
      </c>
      <c r="G33" s="85" t="s">
        <v>41</v>
      </c>
      <c r="H33" s="89">
        <f>'Scholz Data'!$E$31</f>
        <v>35.713999999999999</v>
      </c>
      <c r="I33" s="194">
        <f>'Scholz Data'!$F$31/2</f>
        <v>592308.88888888888</v>
      </c>
      <c r="J33" s="85" t="s">
        <v>117</v>
      </c>
      <c r="K33" s="85" t="s">
        <v>64</v>
      </c>
      <c r="L33" s="85" t="s">
        <v>64</v>
      </c>
      <c r="M33" s="85" t="s">
        <v>118</v>
      </c>
      <c r="N33" s="192">
        <f t="shared" si="0"/>
        <v>35.713999999999999</v>
      </c>
      <c r="O33" s="193">
        <f t="shared" si="1"/>
        <v>592308.88888888888</v>
      </c>
      <c r="P33" s="138" t="s">
        <v>72</v>
      </c>
      <c r="Q33" s="138">
        <v>1</v>
      </c>
      <c r="R33" s="138" t="s">
        <v>169</v>
      </c>
      <c r="S33" s="94" t="s">
        <v>150</v>
      </c>
      <c r="T33" s="137" t="s">
        <v>83</v>
      </c>
      <c r="U33" s="137" t="s">
        <v>101</v>
      </c>
      <c r="V33" s="83" t="str">
        <f t="shared" si="2"/>
        <v>311UND11LRSCHOLZ-NON16923.1111111111cy35.714Main Power Block - Backfill Basement</v>
      </c>
      <c r="W33" s="83"/>
    </row>
    <row r="34" spans="1:23" x14ac:dyDescent="0.25">
      <c r="A34" s="85" t="s">
        <v>111</v>
      </c>
      <c r="B34" s="86" t="s">
        <v>155</v>
      </c>
      <c r="C34" s="86">
        <v>2</v>
      </c>
      <c r="D34" s="85" t="s">
        <v>69</v>
      </c>
      <c r="E34" s="85" t="s">
        <v>191</v>
      </c>
      <c r="F34" s="90">
        <f>'Scholz Data'!$D$31/2</f>
        <v>16923.111111111109</v>
      </c>
      <c r="G34" s="85" t="s">
        <v>41</v>
      </c>
      <c r="H34" s="89">
        <f>'Scholz Data'!$E$31</f>
        <v>35.713999999999999</v>
      </c>
      <c r="I34" s="194">
        <f>'Scholz Data'!$F$31/2</f>
        <v>592308.88888888888</v>
      </c>
      <c r="J34" s="85" t="s">
        <v>117</v>
      </c>
      <c r="K34" s="85" t="s">
        <v>64</v>
      </c>
      <c r="L34" s="85" t="s">
        <v>64</v>
      </c>
      <c r="M34" s="85" t="s">
        <v>118</v>
      </c>
      <c r="N34" s="192">
        <f t="shared" si="0"/>
        <v>35.713999999999999</v>
      </c>
      <c r="O34" s="193">
        <f t="shared" si="1"/>
        <v>592308.88888888888</v>
      </c>
      <c r="P34" s="138" t="s">
        <v>72</v>
      </c>
      <c r="Q34" s="138">
        <v>1</v>
      </c>
      <c r="R34" s="138" t="s">
        <v>169</v>
      </c>
      <c r="S34" s="94" t="s">
        <v>150</v>
      </c>
      <c r="T34" s="137" t="s">
        <v>83</v>
      </c>
      <c r="U34" s="137" t="s">
        <v>101</v>
      </c>
      <c r="V34" s="83" t="str">
        <f t="shared" si="2"/>
        <v>311UND22LRSCHOLZ-NON16923.1111111111cy35.714Main Power Block - Backfill Basement</v>
      </c>
      <c r="W34" s="83"/>
    </row>
    <row r="35" spans="1:23" x14ac:dyDescent="0.25">
      <c r="A35" s="85" t="s">
        <v>137</v>
      </c>
      <c r="B35" s="86" t="s">
        <v>162</v>
      </c>
      <c r="C35" s="86">
        <v>1</v>
      </c>
      <c r="D35" s="85" t="s">
        <v>120</v>
      </c>
      <c r="E35" s="85" t="s">
        <v>191</v>
      </c>
      <c r="F35" s="90">
        <f>'Scholz Data'!$D$24/2</f>
        <v>30000</v>
      </c>
      <c r="G35" s="85" t="s">
        <v>37</v>
      </c>
      <c r="H35" s="89">
        <f>'Scholz Data'!$E$24</f>
        <v>-1.5206066633165829</v>
      </c>
      <c r="I35" s="194">
        <f>'Scholz Data'!$F$24/2</f>
        <v>-47475</v>
      </c>
      <c r="J35" s="85" t="s">
        <v>187</v>
      </c>
      <c r="K35" s="85" t="s">
        <v>188</v>
      </c>
      <c r="L35" s="85" t="s">
        <v>64</v>
      </c>
      <c r="M35" s="85" t="s">
        <v>235</v>
      </c>
      <c r="N35" s="192">
        <f t="shared" ref="N35:N66" si="3">H35</f>
        <v>-1.5206066633165829</v>
      </c>
      <c r="O35" s="193">
        <f t="shared" ref="O35:O66" si="4">I35</f>
        <v>-47475</v>
      </c>
      <c r="P35" s="138" t="s">
        <v>72</v>
      </c>
      <c r="Q35" s="138">
        <v>1</v>
      </c>
      <c r="R35" s="138" t="s">
        <v>169</v>
      </c>
      <c r="S35" s="94" t="s">
        <v>152</v>
      </c>
      <c r="T35" s="137" t="s">
        <v>83</v>
      </c>
      <c r="U35" s="137" t="s">
        <v>101</v>
      </c>
      <c r="V35" s="83" t="str">
        <f t="shared" ref="V35:V66" si="5">A35&amp;C35&amp;D35&amp;E35&amp;F35&amp;G35&amp;H35&amp;J35</f>
        <v>314UND11MSSCHOLZ-NON30000lbs-1.52060666331658Main Power Block - Condenser Tubes (90-10 Cu Ni)</v>
      </c>
      <c r="W35" s="83"/>
    </row>
    <row r="36" spans="1:23" x14ac:dyDescent="0.25">
      <c r="A36" s="85" t="s">
        <v>137</v>
      </c>
      <c r="B36" s="86" t="s">
        <v>162</v>
      </c>
      <c r="C36" s="86">
        <v>2</v>
      </c>
      <c r="D36" s="85" t="s">
        <v>122</v>
      </c>
      <c r="E36" s="85" t="s">
        <v>191</v>
      </c>
      <c r="F36" s="90">
        <f>'Scholz Data'!$D$24/2</f>
        <v>30000</v>
      </c>
      <c r="G36" s="85" t="s">
        <v>37</v>
      </c>
      <c r="H36" s="89">
        <f>'Scholz Data'!$E$24</f>
        <v>-1.5206066633165829</v>
      </c>
      <c r="I36" s="194">
        <f>'Scholz Data'!$F$24/2</f>
        <v>-47475</v>
      </c>
      <c r="J36" s="85" t="s">
        <v>187</v>
      </c>
      <c r="K36" s="85" t="s">
        <v>188</v>
      </c>
      <c r="L36" s="85" t="s">
        <v>64</v>
      </c>
      <c r="M36" s="85" t="s">
        <v>235</v>
      </c>
      <c r="N36" s="192">
        <f t="shared" si="3"/>
        <v>-1.5206066633165829</v>
      </c>
      <c r="O36" s="193">
        <f t="shared" si="4"/>
        <v>-47475</v>
      </c>
      <c r="P36" s="138" t="s">
        <v>72</v>
      </c>
      <c r="Q36" s="138">
        <v>1</v>
      </c>
      <c r="R36" s="138" t="s">
        <v>169</v>
      </c>
      <c r="S36" s="94" t="s">
        <v>152</v>
      </c>
      <c r="T36" s="137" t="s">
        <v>83</v>
      </c>
      <c r="U36" s="137" t="s">
        <v>101</v>
      </c>
      <c r="V36" s="83" t="str">
        <f t="shared" si="5"/>
        <v>314UND22MSSCHOLZ-NON30000lbs-1.52060666331658Main Power Block - Condenser Tubes (90-10 Cu Ni)</v>
      </c>
      <c r="W36" s="83"/>
    </row>
    <row r="37" spans="1:23" s="76" customFormat="1" x14ac:dyDescent="0.25">
      <c r="A37" s="85" t="s">
        <v>127</v>
      </c>
      <c r="B37" s="86" t="s">
        <v>161</v>
      </c>
      <c r="C37" s="86">
        <v>1</v>
      </c>
      <c r="D37" s="85" t="s">
        <v>120</v>
      </c>
      <c r="E37" s="85" t="s">
        <v>191</v>
      </c>
      <c r="F37" s="90">
        <f>'Scholz Data'!$D$21/2*0.2</f>
        <v>36166.173999999999</v>
      </c>
      <c r="G37" s="85" t="s">
        <v>37</v>
      </c>
      <c r="H37" s="89">
        <f>'Scholz Data'!$E$21</f>
        <v>-0.31414430979039298</v>
      </c>
      <c r="I37" s="194">
        <f>'Scholz Data'!$F$21/2*0.2</f>
        <v>-13388.161212123079</v>
      </c>
      <c r="J37" s="85" t="s">
        <v>130</v>
      </c>
      <c r="K37" s="85" t="s">
        <v>131</v>
      </c>
      <c r="L37" s="85" t="s">
        <v>64</v>
      </c>
      <c r="M37" s="85" t="s">
        <v>235</v>
      </c>
      <c r="N37" s="192">
        <f t="shared" si="3"/>
        <v>-0.31414430979039298</v>
      </c>
      <c r="O37" s="193">
        <f t="shared" si="4"/>
        <v>-13388.161212123079</v>
      </c>
      <c r="P37" s="138" t="s">
        <v>72</v>
      </c>
      <c r="Q37" s="138">
        <v>1</v>
      </c>
      <c r="R37" s="138" t="s">
        <v>169</v>
      </c>
      <c r="S37" s="94" t="s">
        <v>152</v>
      </c>
      <c r="T37" s="137" t="s">
        <v>83</v>
      </c>
      <c r="U37" s="137" t="s">
        <v>101</v>
      </c>
      <c r="V37" s="83" t="str">
        <f t="shared" si="5"/>
        <v>312UND11MSSCHOLZ-NON36166.174lbs-0.314144309790393Main Power Block - CU Sales</v>
      </c>
      <c r="W37" s="83"/>
    </row>
    <row r="38" spans="1:23" s="76" customFormat="1" x14ac:dyDescent="0.25">
      <c r="A38" s="85" t="s">
        <v>139</v>
      </c>
      <c r="B38" s="86" t="s">
        <v>163</v>
      </c>
      <c r="C38" s="86">
        <v>1</v>
      </c>
      <c r="D38" s="85" t="s">
        <v>120</v>
      </c>
      <c r="E38" s="85" t="s">
        <v>191</v>
      </c>
      <c r="F38" s="90">
        <f>'Scholz Data'!$D$21/2*0.8</f>
        <v>144664.696</v>
      </c>
      <c r="G38" s="85" t="s">
        <v>37</v>
      </c>
      <c r="H38" s="89">
        <f>'Scholz Data'!$E$21</f>
        <v>-0.31414430979039298</v>
      </c>
      <c r="I38" s="194">
        <f>'Scholz Data'!$F$21/2*0.8</f>
        <v>-53552.644848492317</v>
      </c>
      <c r="J38" s="85" t="s">
        <v>130</v>
      </c>
      <c r="K38" s="85" t="s">
        <v>131</v>
      </c>
      <c r="L38" s="85" t="s">
        <v>64</v>
      </c>
      <c r="M38" s="85" t="s">
        <v>235</v>
      </c>
      <c r="N38" s="192">
        <f t="shared" si="3"/>
        <v>-0.31414430979039298</v>
      </c>
      <c r="O38" s="193">
        <f t="shared" si="4"/>
        <v>-53552.644848492317</v>
      </c>
      <c r="P38" s="138" t="s">
        <v>72</v>
      </c>
      <c r="Q38" s="138">
        <v>1</v>
      </c>
      <c r="R38" s="138" t="s">
        <v>169</v>
      </c>
      <c r="S38" s="94" t="s">
        <v>152</v>
      </c>
      <c r="T38" s="137" t="s">
        <v>83</v>
      </c>
      <c r="U38" s="137" t="s">
        <v>101</v>
      </c>
      <c r="V38" s="83" t="str">
        <f t="shared" si="5"/>
        <v>315UND11MSSCHOLZ-NON144664.696lbs-0.314144309790393Main Power Block - CU Sales</v>
      </c>
      <c r="W38" s="83"/>
    </row>
    <row r="39" spans="1:23" s="76" customFormat="1" x14ac:dyDescent="0.25">
      <c r="A39" s="85" t="s">
        <v>127</v>
      </c>
      <c r="B39" s="86" t="s">
        <v>161</v>
      </c>
      <c r="C39" s="86">
        <v>2</v>
      </c>
      <c r="D39" s="85" t="s">
        <v>122</v>
      </c>
      <c r="E39" s="85" t="s">
        <v>191</v>
      </c>
      <c r="F39" s="90">
        <f>'Scholz Data'!$D$21/2*0.2</f>
        <v>36166.173999999999</v>
      </c>
      <c r="G39" s="85" t="s">
        <v>37</v>
      </c>
      <c r="H39" s="89">
        <f>'Scholz Data'!$E$21</f>
        <v>-0.31414430979039298</v>
      </c>
      <c r="I39" s="194">
        <f>'Scholz Data'!$F$21/2*0.2</f>
        <v>-13388.161212123079</v>
      </c>
      <c r="J39" s="85" t="s">
        <v>130</v>
      </c>
      <c r="K39" s="85" t="s">
        <v>131</v>
      </c>
      <c r="L39" s="85" t="s">
        <v>64</v>
      </c>
      <c r="M39" s="85" t="s">
        <v>235</v>
      </c>
      <c r="N39" s="192">
        <f t="shared" si="3"/>
        <v>-0.31414430979039298</v>
      </c>
      <c r="O39" s="193">
        <f t="shared" si="4"/>
        <v>-13388.161212123079</v>
      </c>
      <c r="P39" s="138" t="s">
        <v>72</v>
      </c>
      <c r="Q39" s="138">
        <v>1</v>
      </c>
      <c r="R39" s="138" t="s">
        <v>169</v>
      </c>
      <c r="S39" s="94" t="s">
        <v>152</v>
      </c>
      <c r="T39" s="137" t="s">
        <v>83</v>
      </c>
      <c r="U39" s="137" t="s">
        <v>101</v>
      </c>
      <c r="V39" s="83" t="str">
        <f t="shared" si="5"/>
        <v>312UND22MSSCHOLZ-NON36166.174lbs-0.314144309790393Main Power Block - CU Sales</v>
      </c>
      <c r="W39" s="83"/>
    </row>
    <row r="40" spans="1:23" x14ac:dyDescent="0.25">
      <c r="A40" s="85" t="s">
        <v>139</v>
      </c>
      <c r="B40" s="86" t="s">
        <v>163</v>
      </c>
      <c r="C40" s="86">
        <v>2</v>
      </c>
      <c r="D40" s="85" t="s">
        <v>122</v>
      </c>
      <c r="E40" s="85" t="s">
        <v>191</v>
      </c>
      <c r="F40" s="90">
        <f>'Scholz Data'!$D$21/2*0.8</f>
        <v>144664.696</v>
      </c>
      <c r="G40" s="85" t="s">
        <v>37</v>
      </c>
      <c r="H40" s="89">
        <f>'Scholz Data'!$E$21</f>
        <v>-0.31414430979039298</v>
      </c>
      <c r="I40" s="194">
        <f>'Scholz Data'!$F$21/2*0.8</f>
        <v>-53552.644848492317</v>
      </c>
      <c r="J40" s="85" t="s">
        <v>130</v>
      </c>
      <c r="K40" s="85" t="s">
        <v>131</v>
      </c>
      <c r="L40" s="85" t="s">
        <v>64</v>
      </c>
      <c r="M40" s="85" t="s">
        <v>235</v>
      </c>
      <c r="N40" s="192">
        <f t="shared" si="3"/>
        <v>-0.31414430979039298</v>
      </c>
      <c r="O40" s="193">
        <f t="shared" si="4"/>
        <v>-53552.644848492317</v>
      </c>
      <c r="P40" s="138" t="s">
        <v>72</v>
      </c>
      <c r="Q40" s="138">
        <v>1</v>
      </c>
      <c r="R40" s="138" t="s">
        <v>169</v>
      </c>
      <c r="S40" s="94" t="s">
        <v>152</v>
      </c>
      <c r="T40" s="137" t="s">
        <v>83</v>
      </c>
      <c r="U40" s="137" t="s">
        <v>101</v>
      </c>
      <c r="V40" s="83" t="str">
        <f t="shared" si="5"/>
        <v>315UND22MSSCHOLZ-NON144664.696lbs-0.314144309790393Main Power Block - CU Sales</v>
      </c>
      <c r="W40" s="83"/>
    </row>
    <row r="41" spans="1:23" x14ac:dyDescent="0.25">
      <c r="A41" s="85" t="s">
        <v>111</v>
      </c>
      <c r="B41" s="86" t="s">
        <v>155</v>
      </c>
      <c r="C41" s="86">
        <v>1</v>
      </c>
      <c r="D41" s="85" t="s">
        <v>68</v>
      </c>
      <c r="E41" s="85" t="s">
        <v>191</v>
      </c>
      <c r="F41" s="90">
        <f>('Scholz Data'!$D$18/2)*0.6</f>
        <v>1240.4531999999999</v>
      </c>
      <c r="G41" s="85" t="s">
        <v>34</v>
      </c>
      <c r="H41" s="89">
        <f>('Scholz Data'!$E$18)</f>
        <v>244.89599999999999</v>
      </c>
      <c r="I41" s="194">
        <f>('Scholz Data'!$F$18/2)*0.6</f>
        <v>303782.02686719998</v>
      </c>
      <c r="J41" s="85" t="s">
        <v>119</v>
      </c>
      <c r="K41" s="85" t="s">
        <v>64</v>
      </c>
      <c r="L41" s="85" t="s">
        <v>64</v>
      </c>
      <c r="M41" s="85" t="s">
        <v>119</v>
      </c>
      <c r="N41" s="192">
        <f t="shared" si="3"/>
        <v>244.89599999999999</v>
      </c>
      <c r="O41" s="193">
        <f t="shared" si="4"/>
        <v>303782.02686719998</v>
      </c>
      <c r="P41" s="138" t="s">
        <v>72</v>
      </c>
      <c r="Q41" s="138">
        <v>1</v>
      </c>
      <c r="R41" s="138" t="s">
        <v>169</v>
      </c>
      <c r="S41" s="94" t="s">
        <v>150</v>
      </c>
      <c r="T41" s="137" t="s">
        <v>83</v>
      </c>
      <c r="U41" s="137" t="s">
        <v>101</v>
      </c>
      <c r="V41" s="83" t="str">
        <f t="shared" si="5"/>
        <v>311UND11LRSCHOLZ-NON1240.4532nt244.896Main Power Block - DEMO</v>
      </c>
      <c r="W41" s="83"/>
    </row>
    <row r="42" spans="1:23" s="140" customFormat="1" x14ac:dyDescent="0.25">
      <c r="A42" s="85" t="s">
        <v>127</v>
      </c>
      <c r="B42" s="86" t="s">
        <v>161</v>
      </c>
      <c r="C42" s="86">
        <v>1</v>
      </c>
      <c r="D42" s="85" t="s">
        <v>68</v>
      </c>
      <c r="E42" s="85" t="s">
        <v>191</v>
      </c>
      <c r="F42" s="90">
        <f>('Scholz Data'!$D$18/2)*0.2</f>
        <v>413.48440000000005</v>
      </c>
      <c r="G42" s="85" t="s">
        <v>34</v>
      </c>
      <c r="H42" s="103">
        <f>('Scholz Data'!$E$18)</f>
        <v>244.89599999999999</v>
      </c>
      <c r="I42" s="194">
        <f>('Scholz Data'!$F$18/2)*0.2</f>
        <v>101260.67562240001</v>
      </c>
      <c r="J42" s="85" t="s">
        <v>119</v>
      </c>
      <c r="K42" s="85" t="s">
        <v>64</v>
      </c>
      <c r="L42" s="85" t="s">
        <v>64</v>
      </c>
      <c r="M42" s="85" t="s">
        <v>119</v>
      </c>
      <c r="N42" s="192">
        <f t="shared" si="3"/>
        <v>244.89599999999999</v>
      </c>
      <c r="O42" s="193">
        <f t="shared" si="4"/>
        <v>101260.67562240001</v>
      </c>
      <c r="P42" s="138" t="s">
        <v>72</v>
      </c>
      <c r="Q42" s="138">
        <v>1</v>
      </c>
      <c r="R42" s="138" t="s">
        <v>169</v>
      </c>
      <c r="S42" s="94" t="s">
        <v>150</v>
      </c>
      <c r="T42" s="137" t="s">
        <v>83</v>
      </c>
      <c r="U42" s="137" t="s">
        <v>101</v>
      </c>
      <c r="V42" s="83" t="str">
        <f t="shared" si="5"/>
        <v>312UND11LRSCHOLZ-NON413.4844nt244.896Main Power Block - DEMO</v>
      </c>
      <c r="W42" s="83"/>
    </row>
    <row r="43" spans="1:23" s="140" customFormat="1" x14ac:dyDescent="0.25">
      <c r="A43" s="85" t="s">
        <v>137</v>
      </c>
      <c r="B43" s="86" t="s">
        <v>162</v>
      </c>
      <c r="C43" s="86">
        <v>1</v>
      </c>
      <c r="D43" s="85" t="s">
        <v>68</v>
      </c>
      <c r="E43" s="85" t="s">
        <v>191</v>
      </c>
      <c r="F43" s="90">
        <f>('Scholz Data'!$D$18/2)*0.15</f>
        <v>310.11329999999998</v>
      </c>
      <c r="G43" s="85" t="s">
        <v>34</v>
      </c>
      <c r="H43" s="103">
        <f>('Scholz Data'!$E$18)</f>
        <v>244.89599999999999</v>
      </c>
      <c r="I43" s="194">
        <f>('Scholz Data'!$F$18/2)*0.15</f>
        <v>75945.506716799995</v>
      </c>
      <c r="J43" s="85" t="s">
        <v>119</v>
      </c>
      <c r="K43" s="85" t="s">
        <v>64</v>
      </c>
      <c r="L43" s="85" t="s">
        <v>64</v>
      </c>
      <c r="M43" s="85" t="s">
        <v>119</v>
      </c>
      <c r="N43" s="192">
        <f t="shared" si="3"/>
        <v>244.89599999999999</v>
      </c>
      <c r="O43" s="193">
        <f t="shared" si="4"/>
        <v>75945.506716799995</v>
      </c>
      <c r="P43" s="138" t="s">
        <v>72</v>
      </c>
      <c r="Q43" s="138">
        <v>1</v>
      </c>
      <c r="R43" s="138" t="s">
        <v>169</v>
      </c>
      <c r="S43" s="94" t="s">
        <v>150</v>
      </c>
      <c r="T43" s="137" t="s">
        <v>83</v>
      </c>
      <c r="U43" s="137" t="s">
        <v>101</v>
      </c>
      <c r="V43" s="83" t="str">
        <f t="shared" si="5"/>
        <v>314UND11LRSCHOLZ-NON310.1133nt244.896Main Power Block - DEMO</v>
      </c>
      <c r="W43" s="83"/>
    </row>
    <row r="44" spans="1:23" s="140" customFormat="1" x14ac:dyDescent="0.25">
      <c r="A44" s="85" t="s">
        <v>139</v>
      </c>
      <c r="B44" s="86" t="s">
        <v>163</v>
      </c>
      <c r="C44" s="86">
        <v>1</v>
      </c>
      <c r="D44" s="85" t="s">
        <v>68</v>
      </c>
      <c r="E44" s="85" t="s">
        <v>191</v>
      </c>
      <c r="F44" s="90">
        <f>('Scholz Data'!$D$18/2)*0.05</f>
        <v>103.37110000000001</v>
      </c>
      <c r="G44" s="85" t="s">
        <v>34</v>
      </c>
      <c r="H44" s="103">
        <f>('Scholz Data'!$E$18)</f>
        <v>244.89599999999999</v>
      </c>
      <c r="I44" s="194">
        <f>('Scholz Data'!$F$18/2)*0.05</f>
        <v>25315.168905600003</v>
      </c>
      <c r="J44" s="85" t="s">
        <v>119</v>
      </c>
      <c r="K44" s="85" t="s">
        <v>64</v>
      </c>
      <c r="L44" s="85" t="s">
        <v>64</v>
      </c>
      <c r="M44" s="85" t="s">
        <v>119</v>
      </c>
      <c r="N44" s="192">
        <f t="shared" si="3"/>
        <v>244.89599999999999</v>
      </c>
      <c r="O44" s="193">
        <f t="shared" si="4"/>
        <v>25315.168905600003</v>
      </c>
      <c r="P44" s="138" t="s">
        <v>72</v>
      </c>
      <c r="Q44" s="138">
        <v>1</v>
      </c>
      <c r="R44" s="138" t="s">
        <v>169</v>
      </c>
      <c r="S44" s="94" t="s">
        <v>150</v>
      </c>
      <c r="T44" s="137" t="s">
        <v>83</v>
      </c>
      <c r="U44" s="137" t="s">
        <v>101</v>
      </c>
      <c r="V44" s="83" t="str">
        <f t="shared" si="5"/>
        <v>315UND11LRSCHOLZ-NON103.3711nt244.896Main Power Block - DEMO</v>
      </c>
      <c r="W44" s="83"/>
    </row>
    <row r="45" spans="1:23" s="140" customFormat="1" x14ac:dyDescent="0.25">
      <c r="A45" s="85" t="s">
        <v>111</v>
      </c>
      <c r="B45" s="86" t="s">
        <v>155</v>
      </c>
      <c r="C45" s="86">
        <v>2</v>
      </c>
      <c r="D45" s="85" t="s">
        <v>69</v>
      </c>
      <c r="E45" s="85" t="s">
        <v>191</v>
      </c>
      <c r="F45" s="90">
        <f>('Scholz Data'!$D$18/2)*0.6</f>
        <v>1240.4531999999999</v>
      </c>
      <c r="G45" s="85" t="s">
        <v>34</v>
      </c>
      <c r="H45" s="103">
        <f>('Scholz Data'!$E$18)</f>
        <v>244.89599999999999</v>
      </c>
      <c r="I45" s="194">
        <f>('Scholz Data'!$F$18/2)*0.6</f>
        <v>303782.02686719998</v>
      </c>
      <c r="J45" s="85" t="s">
        <v>119</v>
      </c>
      <c r="K45" s="85" t="s">
        <v>64</v>
      </c>
      <c r="L45" s="85" t="s">
        <v>64</v>
      </c>
      <c r="M45" s="85" t="s">
        <v>119</v>
      </c>
      <c r="N45" s="192">
        <f t="shared" si="3"/>
        <v>244.89599999999999</v>
      </c>
      <c r="O45" s="193">
        <f t="shared" si="4"/>
        <v>303782.02686719998</v>
      </c>
      <c r="P45" s="138" t="s">
        <v>72</v>
      </c>
      <c r="Q45" s="138">
        <v>1</v>
      </c>
      <c r="R45" s="138" t="s">
        <v>169</v>
      </c>
      <c r="S45" s="94" t="s">
        <v>150</v>
      </c>
      <c r="T45" s="137" t="s">
        <v>83</v>
      </c>
      <c r="U45" s="137" t="s">
        <v>101</v>
      </c>
      <c r="V45" s="83" t="str">
        <f t="shared" si="5"/>
        <v>311UND22LRSCHOLZ-NON1240.4532nt244.896Main Power Block - DEMO</v>
      </c>
      <c r="W45" s="83"/>
    </row>
    <row r="46" spans="1:23" s="140" customFormat="1" x14ac:dyDescent="0.25">
      <c r="A46" s="85" t="s">
        <v>127</v>
      </c>
      <c r="B46" s="86" t="s">
        <v>161</v>
      </c>
      <c r="C46" s="86">
        <v>2</v>
      </c>
      <c r="D46" s="85" t="s">
        <v>69</v>
      </c>
      <c r="E46" s="85" t="s">
        <v>191</v>
      </c>
      <c r="F46" s="90">
        <f>('Scholz Data'!$D$18/2)*0.2</f>
        <v>413.48440000000005</v>
      </c>
      <c r="G46" s="85" t="s">
        <v>34</v>
      </c>
      <c r="H46" s="103">
        <f>('Scholz Data'!$E$18)</f>
        <v>244.89599999999999</v>
      </c>
      <c r="I46" s="194">
        <f>('Scholz Data'!$F$18/2)*0.2</f>
        <v>101260.67562240001</v>
      </c>
      <c r="J46" s="85" t="s">
        <v>119</v>
      </c>
      <c r="K46" s="85" t="s">
        <v>64</v>
      </c>
      <c r="L46" s="85" t="s">
        <v>64</v>
      </c>
      <c r="M46" s="85" t="s">
        <v>119</v>
      </c>
      <c r="N46" s="192">
        <f t="shared" si="3"/>
        <v>244.89599999999999</v>
      </c>
      <c r="O46" s="193">
        <f t="shared" si="4"/>
        <v>101260.67562240001</v>
      </c>
      <c r="P46" s="138" t="s">
        <v>72</v>
      </c>
      <c r="Q46" s="138">
        <v>1</v>
      </c>
      <c r="R46" s="138" t="s">
        <v>169</v>
      </c>
      <c r="S46" s="94" t="s">
        <v>150</v>
      </c>
      <c r="T46" s="137" t="s">
        <v>83</v>
      </c>
      <c r="U46" s="137" t="s">
        <v>101</v>
      </c>
      <c r="V46" s="83" t="str">
        <f t="shared" si="5"/>
        <v>312UND22LRSCHOLZ-NON413.4844nt244.896Main Power Block - DEMO</v>
      </c>
      <c r="W46" s="83"/>
    </row>
    <row r="47" spans="1:23" s="140" customFormat="1" x14ac:dyDescent="0.25">
      <c r="A47" s="85" t="s">
        <v>137</v>
      </c>
      <c r="B47" s="86" t="s">
        <v>162</v>
      </c>
      <c r="C47" s="86">
        <v>2</v>
      </c>
      <c r="D47" s="85" t="s">
        <v>69</v>
      </c>
      <c r="E47" s="85" t="s">
        <v>191</v>
      </c>
      <c r="F47" s="90">
        <f>('Scholz Data'!$D$18/2)*0.15</f>
        <v>310.11329999999998</v>
      </c>
      <c r="G47" s="85" t="s">
        <v>34</v>
      </c>
      <c r="H47" s="103">
        <f>('Scholz Data'!$E$18)</f>
        <v>244.89599999999999</v>
      </c>
      <c r="I47" s="194">
        <f>('Scholz Data'!$F$18/2)*0.15</f>
        <v>75945.506716799995</v>
      </c>
      <c r="J47" s="85" t="s">
        <v>119</v>
      </c>
      <c r="K47" s="85" t="s">
        <v>64</v>
      </c>
      <c r="L47" s="85" t="s">
        <v>64</v>
      </c>
      <c r="M47" s="85" t="s">
        <v>119</v>
      </c>
      <c r="N47" s="192">
        <f t="shared" si="3"/>
        <v>244.89599999999999</v>
      </c>
      <c r="O47" s="193">
        <f t="shared" si="4"/>
        <v>75945.506716799995</v>
      </c>
      <c r="P47" s="138" t="s">
        <v>72</v>
      </c>
      <c r="Q47" s="138">
        <v>1</v>
      </c>
      <c r="R47" s="138" t="s">
        <v>169</v>
      </c>
      <c r="S47" s="94" t="s">
        <v>150</v>
      </c>
      <c r="T47" s="137" t="s">
        <v>83</v>
      </c>
      <c r="U47" s="137" t="s">
        <v>101</v>
      </c>
      <c r="V47" s="83" t="str">
        <f t="shared" si="5"/>
        <v>314UND22LRSCHOLZ-NON310.1133nt244.896Main Power Block - DEMO</v>
      </c>
      <c r="W47" s="83"/>
    </row>
    <row r="48" spans="1:23" s="140" customFormat="1" x14ac:dyDescent="0.25">
      <c r="A48" s="85" t="s">
        <v>139</v>
      </c>
      <c r="B48" s="86" t="s">
        <v>163</v>
      </c>
      <c r="C48" s="86">
        <v>2</v>
      </c>
      <c r="D48" s="85" t="s">
        <v>69</v>
      </c>
      <c r="E48" s="85" t="s">
        <v>191</v>
      </c>
      <c r="F48" s="90">
        <f>('Scholz Data'!$D$18/2)*0.05</f>
        <v>103.37110000000001</v>
      </c>
      <c r="G48" s="85" t="s">
        <v>34</v>
      </c>
      <c r="H48" s="103">
        <f>('Scholz Data'!$E$18)</f>
        <v>244.89599999999999</v>
      </c>
      <c r="I48" s="194">
        <f>('Scholz Data'!$F$18/2)*0.05</f>
        <v>25315.168905600003</v>
      </c>
      <c r="J48" s="85" t="s">
        <v>119</v>
      </c>
      <c r="K48" s="85" t="s">
        <v>64</v>
      </c>
      <c r="L48" s="85" t="s">
        <v>64</v>
      </c>
      <c r="M48" s="85" t="s">
        <v>119</v>
      </c>
      <c r="N48" s="192">
        <f t="shared" si="3"/>
        <v>244.89599999999999</v>
      </c>
      <c r="O48" s="193">
        <f t="shared" si="4"/>
        <v>25315.168905600003</v>
      </c>
      <c r="P48" s="138" t="s">
        <v>72</v>
      </c>
      <c r="Q48" s="138">
        <v>1</v>
      </c>
      <c r="R48" s="138" t="s">
        <v>169</v>
      </c>
      <c r="S48" s="94" t="s">
        <v>150</v>
      </c>
      <c r="T48" s="137" t="s">
        <v>83</v>
      </c>
      <c r="U48" s="137" t="s">
        <v>101</v>
      </c>
      <c r="V48" s="83" t="str">
        <f t="shared" si="5"/>
        <v>315UND22LRSCHOLZ-NON103.3711nt244.896Main Power Block - DEMO</v>
      </c>
      <c r="W48" s="83"/>
    </row>
    <row r="49" spans="1:23" s="140" customFormat="1" x14ac:dyDescent="0.25">
      <c r="A49" s="85" t="s">
        <v>111</v>
      </c>
      <c r="B49" s="86" t="s">
        <v>155</v>
      </c>
      <c r="C49" s="86">
        <v>1</v>
      </c>
      <c r="D49" s="85" t="s">
        <v>120</v>
      </c>
      <c r="E49" s="85" t="s">
        <v>191</v>
      </c>
      <c r="F49" s="90">
        <f>('Scholz Data'!$D$19/2)*0.6</f>
        <v>1240.4531999999999</v>
      </c>
      <c r="G49" s="85" t="s">
        <v>34</v>
      </c>
      <c r="H49" s="103">
        <f>'Scholz Data'!$E$19</f>
        <v>-108.3695731319762</v>
      </c>
      <c r="I49" s="194">
        <f>('Scholz Data'!$F$19/2)*0.6</f>
        <v>-134427.38377419388</v>
      </c>
      <c r="J49" s="85" t="s">
        <v>121</v>
      </c>
      <c r="K49" s="85" t="s">
        <v>116</v>
      </c>
      <c r="L49" s="85" t="s">
        <v>64</v>
      </c>
      <c r="M49" s="85" t="s">
        <v>235</v>
      </c>
      <c r="N49" s="192">
        <f t="shared" si="3"/>
        <v>-108.3695731319762</v>
      </c>
      <c r="O49" s="193">
        <f t="shared" si="4"/>
        <v>-134427.38377419388</v>
      </c>
      <c r="P49" s="138" t="s">
        <v>72</v>
      </c>
      <c r="Q49" s="138">
        <v>1</v>
      </c>
      <c r="R49" s="138" t="s">
        <v>169</v>
      </c>
      <c r="S49" s="94" t="s">
        <v>152</v>
      </c>
      <c r="T49" s="137" t="s">
        <v>83</v>
      </c>
      <c r="U49" s="137" t="s">
        <v>101</v>
      </c>
      <c r="V49" s="83" t="str">
        <f t="shared" si="5"/>
        <v>311UND11MSSCHOLZ-NON1240.4532nt-108.369573131976Main Power Block - FE Sales</v>
      </c>
      <c r="W49" s="83"/>
    </row>
    <row r="50" spans="1:23" s="140" customFormat="1" x14ac:dyDescent="0.25">
      <c r="A50" s="85" t="s">
        <v>127</v>
      </c>
      <c r="B50" s="86" t="s">
        <v>161</v>
      </c>
      <c r="C50" s="86">
        <v>1</v>
      </c>
      <c r="D50" s="85" t="s">
        <v>120</v>
      </c>
      <c r="E50" s="85" t="s">
        <v>191</v>
      </c>
      <c r="F50" s="90">
        <f>('Scholz Data'!$D$19/2)*0.25</f>
        <v>516.85550000000001</v>
      </c>
      <c r="G50" s="85" t="s">
        <v>34</v>
      </c>
      <c r="H50" s="103">
        <f>'Scholz Data'!$E$19</f>
        <v>-108.3695731319762</v>
      </c>
      <c r="I50" s="194">
        <f>('Scholz Data'!$F$19/2)*0.25</f>
        <v>-56011.409905914123</v>
      </c>
      <c r="J50" s="85" t="s">
        <v>121</v>
      </c>
      <c r="K50" s="85" t="s">
        <v>116</v>
      </c>
      <c r="L50" s="85" t="s">
        <v>64</v>
      </c>
      <c r="M50" s="85" t="s">
        <v>235</v>
      </c>
      <c r="N50" s="192">
        <f t="shared" si="3"/>
        <v>-108.3695731319762</v>
      </c>
      <c r="O50" s="193">
        <f t="shared" si="4"/>
        <v>-56011.409905914123</v>
      </c>
      <c r="P50" s="138" t="s">
        <v>72</v>
      </c>
      <c r="Q50" s="138">
        <v>1</v>
      </c>
      <c r="R50" s="138" t="s">
        <v>169</v>
      </c>
      <c r="S50" s="94" t="s">
        <v>152</v>
      </c>
      <c r="T50" s="137" t="s">
        <v>83</v>
      </c>
      <c r="U50" s="137" t="s">
        <v>101</v>
      </c>
      <c r="V50" s="83" t="str">
        <f t="shared" si="5"/>
        <v>312UND11MSSCHOLZ-NON516.8555nt-108.369573131976Main Power Block - FE Sales</v>
      </c>
      <c r="W50" s="83"/>
    </row>
    <row r="51" spans="1:23" s="140" customFormat="1" x14ac:dyDescent="0.25">
      <c r="A51" s="85" t="s">
        <v>137</v>
      </c>
      <c r="B51" s="86" t="s">
        <v>162</v>
      </c>
      <c r="C51" s="86">
        <v>1</v>
      </c>
      <c r="D51" s="85" t="s">
        <v>120</v>
      </c>
      <c r="E51" s="85" t="s">
        <v>191</v>
      </c>
      <c r="F51" s="90">
        <f>('Scholz Data'!$D$19/2)*0.15</f>
        <v>310.11329999999998</v>
      </c>
      <c r="G51" s="85" t="s">
        <v>34</v>
      </c>
      <c r="H51" s="103">
        <f>'Scholz Data'!$E$19</f>
        <v>-108.3695731319762</v>
      </c>
      <c r="I51" s="194">
        <f>('Scholz Data'!$F$19/2)*0.15</f>
        <v>-33606.845943548469</v>
      </c>
      <c r="J51" s="85" t="s">
        <v>121</v>
      </c>
      <c r="K51" s="85" t="s">
        <v>116</v>
      </c>
      <c r="L51" s="85" t="s">
        <v>64</v>
      </c>
      <c r="M51" s="85" t="s">
        <v>235</v>
      </c>
      <c r="N51" s="192">
        <f t="shared" si="3"/>
        <v>-108.3695731319762</v>
      </c>
      <c r="O51" s="193">
        <f t="shared" si="4"/>
        <v>-33606.845943548469</v>
      </c>
      <c r="P51" s="138" t="s">
        <v>72</v>
      </c>
      <c r="Q51" s="138">
        <v>1</v>
      </c>
      <c r="R51" s="138" t="s">
        <v>169</v>
      </c>
      <c r="S51" s="94" t="s">
        <v>152</v>
      </c>
      <c r="T51" s="137" t="s">
        <v>83</v>
      </c>
      <c r="U51" s="137" t="s">
        <v>101</v>
      </c>
      <c r="V51" s="83" t="str">
        <f t="shared" si="5"/>
        <v>314UND11MSSCHOLZ-NON310.1133nt-108.369573131976Main Power Block - FE Sales</v>
      </c>
      <c r="W51" s="83"/>
    </row>
    <row r="52" spans="1:23" s="140" customFormat="1" x14ac:dyDescent="0.25">
      <c r="A52" s="85" t="s">
        <v>111</v>
      </c>
      <c r="B52" s="86" t="s">
        <v>155</v>
      </c>
      <c r="C52" s="86">
        <v>2</v>
      </c>
      <c r="D52" s="85" t="s">
        <v>122</v>
      </c>
      <c r="E52" s="85" t="s">
        <v>191</v>
      </c>
      <c r="F52" s="90">
        <f>('Scholz Data'!$D$19/2)*0.6</f>
        <v>1240.4531999999999</v>
      </c>
      <c r="G52" s="85" t="s">
        <v>34</v>
      </c>
      <c r="H52" s="103">
        <f>'Scholz Data'!$E$19</f>
        <v>-108.3695731319762</v>
      </c>
      <c r="I52" s="194">
        <f>('Scholz Data'!$F$19/2)*0.6</f>
        <v>-134427.38377419388</v>
      </c>
      <c r="J52" s="85" t="s">
        <v>121</v>
      </c>
      <c r="K52" s="85" t="s">
        <v>116</v>
      </c>
      <c r="L52" s="85" t="s">
        <v>64</v>
      </c>
      <c r="M52" s="85" t="s">
        <v>235</v>
      </c>
      <c r="N52" s="192">
        <f t="shared" si="3"/>
        <v>-108.3695731319762</v>
      </c>
      <c r="O52" s="193">
        <f t="shared" si="4"/>
        <v>-134427.38377419388</v>
      </c>
      <c r="P52" s="138" t="s">
        <v>72</v>
      </c>
      <c r="Q52" s="138">
        <v>1</v>
      </c>
      <c r="R52" s="138" t="s">
        <v>169</v>
      </c>
      <c r="S52" s="94" t="s">
        <v>152</v>
      </c>
      <c r="T52" s="137" t="s">
        <v>83</v>
      </c>
      <c r="U52" s="137" t="s">
        <v>101</v>
      </c>
      <c r="V52" s="83" t="str">
        <f t="shared" si="5"/>
        <v>311UND22MSSCHOLZ-NON1240.4532nt-108.369573131976Main Power Block - FE Sales</v>
      </c>
      <c r="W52" s="83"/>
    </row>
    <row r="53" spans="1:23" s="140" customFormat="1" x14ac:dyDescent="0.25">
      <c r="A53" s="85" t="s">
        <v>127</v>
      </c>
      <c r="B53" s="86" t="s">
        <v>161</v>
      </c>
      <c r="C53" s="86">
        <v>2</v>
      </c>
      <c r="D53" s="85" t="s">
        <v>122</v>
      </c>
      <c r="E53" s="85" t="s">
        <v>191</v>
      </c>
      <c r="F53" s="90">
        <f>('Scholz Data'!$D$19/2)*0.25</f>
        <v>516.85550000000001</v>
      </c>
      <c r="G53" s="85" t="s">
        <v>34</v>
      </c>
      <c r="H53" s="103">
        <f>'Scholz Data'!$E$19</f>
        <v>-108.3695731319762</v>
      </c>
      <c r="I53" s="194">
        <f>('Scholz Data'!$F$19/2)*0.25</f>
        <v>-56011.409905914123</v>
      </c>
      <c r="J53" s="85" t="s">
        <v>121</v>
      </c>
      <c r="K53" s="85" t="s">
        <v>116</v>
      </c>
      <c r="L53" s="85" t="s">
        <v>64</v>
      </c>
      <c r="M53" s="85" t="s">
        <v>235</v>
      </c>
      <c r="N53" s="192">
        <f t="shared" si="3"/>
        <v>-108.3695731319762</v>
      </c>
      <c r="O53" s="193">
        <f t="shared" si="4"/>
        <v>-56011.409905914123</v>
      </c>
      <c r="P53" s="138" t="s">
        <v>72</v>
      </c>
      <c r="Q53" s="138">
        <v>1</v>
      </c>
      <c r="R53" s="138" t="s">
        <v>169</v>
      </c>
      <c r="S53" s="94" t="s">
        <v>152</v>
      </c>
      <c r="T53" s="137" t="s">
        <v>83</v>
      </c>
      <c r="U53" s="137" t="s">
        <v>101</v>
      </c>
      <c r="V53" s="83" t="str">
        <f t="shared" si="5"/>
        <v>312UND22MSSCHOLZ-NON516.8555nt-108.369573131976Main Power Block - FE Sales</v>
      </c>
      <c r="W53" s="83"/>
    </row>
    <row r="54" spans="1:23" s="140" customFormat="1" x14ac:dyDescent="0.25">
      <c r="A54" s="85" t="s">
        <v>137</v>
      </c>
      <c r="B54" s="86" t="s">
        <v>162</v>
      </c>
      <c r="C54" s="86">
        <v>2</v>
      </c>
      <c r="D54" s="85" t="s">
        <v>122</v>
      </c>
      <c r="E54" s="85" t="s">
        <v>191</v>
      </c>
      <c r="F54" s="90">
        <f>('Scholz Data'!$D$19/2)*0.15</f>
        <v>310.11329999999998</v>
      </c>
      <c r="G54" s="85" t="s">
        <v>34</v>
      </c>
      <c r="H54" s="103">
        <f>'Scholz Data'!$E$19</f>
        <v>-108.3695731319762</v>
      </c>
      <c r="I54" s="194">
        <f>('Scholz Data'!$F$19/2)*0.15</f>
        <v>-33606.845943548469</v>
      </c>
      <c r="J54" s="85" t="s">
        <v>121</v>
      </c>
      <c r="K54" s="85" t="s">
        <v>116</v>
      </c>
      <c r="L54" s="85" t="s">
        <v>64</v>
      </c>
      <c r="M54" s="85" t="s">
        <v>235</v>
      </c>
      <c r="N54" s="192">
        <f t="shared" si="3"/>
        <v>-108.3695731319762</v>
      </c>
      <c r="O54" s="193">
        <f t="shared" si="4"/>
        <v>-33606.845943548469</v>
      </c>
      <c r="P54" s="138" t="s">
        <v>72</v>
      </c>
      <c r="Q54" s="138">
        <v>1</v>
      </c>
      <c r="R54" s="138" t="s">
        <v>169</v>
      </c>
      <c r="S54" s="94" t="s">
        <v>152</v>
      </c>
      <c r="T54" s="137" t="s">
        <v>83</v>
      </c>
      <c r="U54" s="137" t="s">
        <v>101</v>
      </c>
      <c r="V54" s="83" t="str">
        <f t="shared" si="5"/>
        <v>314UND22MSSCHOLZ-NON310.1133nt-108.369573131976Main Power Block - FE Sales</v>
      </c>
      <c r="W54" s="83"/>
    </row>
    <row r="55" spans="1:23" s="140" customFormat="1" x14ac:dyDescent="0.25">
      <c r="A55" s="85" t="s">
        <v>127</v>
      </c>
      <c r="B55" s="86" t="s">
        <v>161</v>
      </c>
      <c r="C55" s="86">
        <v>1</v>
      </c>
      <c r="D55" s="85" t="s">
        <v>120</v>
      </c>
      <c r="E55" s="85" t="s">
        <v>191</v>
      </c>
      <c r="F55" s="90">
        <f>'Scholz Data'!$D$22/2</f>
        <v>25529.063999999998</v>
      </c>
      <c r="G55" s="85" t="s">
        <v>37</v>
      </c>
      <c r="H55" s="103">
        <f>'Scholz Data'!$E$22</f>
        <v>-0.13699903999999999</v>
      </c>
      <c r="I55" s="194">
        <f>'Scholz Data'!$F$22/2</f>
        <v>-4695.8162042467138</v>
      </c>
      <c r="J55" s="85" t="s">
        <v>132</v>
      </c>
      <c r="K55" s="85" t="s">
        <v>133</v>
      </c>
      <c r="L55" s="85" t="s">
        <v>64</v>
      </c>
      <c r="M55" s="85" t="s">
        <v>235</v>
      </c>
      <c r="N55" s="192">
        <f t="shared" si="3"/>
        <v>-0.13699903999999999</v>
      </c>
      <c r="O55" s="193">
        <f t="shared" si="4"/>
        <v>-4695.8162042467138</v>
      </c>
      <c r="P55" s="138" t="s">
        <v>72</v>
      </c>
      <c r="Q55" s="138">
        <v>1</v>
      </c>
      <c r="R55" s="138" t="s">
        <v>169</v>
      </c>
      <c r="S55" s="94" t="s">
        <v>152</v>
      </c>
      <c r="T55" s="137" t="s">
        <v>83</v>
      </c>
      <c r="U55" s="137" t="s">
        <v>101</v>
      </c>
      <c r="V55" s="83" t="str">
        <f t="shared" si="5"/>
        <v>312UND11MSSCHOLZ-NON25529.064lbs-0.13699904Main Power Block - SS Sales</v>
      </c>
      <c r="W55" s="83"/>
    </row>
    <row r="56" spans="1:23" x14ac:dyDescent="0.25">
      <c r="A56" s="85" t="s">
        <v>127</v>
      </c>
      <c r="B56" s="86" t="s">
        <v>161</v>
      </c>
      <c r="C56" s="86">
        <v>2</v>
      </c>
      <c r="D56" s="85" t="s">
        <v>122</v>
      </c>
      <c r="E56" s="85" t="s">
        <v>191</v>
      </c>
      <c r="F56" s="90">
        <f>'Scholz Data'!$D$22/2</f>
        <v>25529.063999999998</v>
      </c>
      <c r="G56" s="85" t="s">
        <v>37</v>
      </c>
      <c r="H56" s="89">
        <f>'Scholz Data'!$E$22</f>
        <v>-0.13699903999999999</v>
      </c>
      <c r="I56" s="194">
        <f>'Scholz Data'!$F$22/2</f>
        <v>-4695.8162042467138</v>
      </c>
      <c r="J56" s="85" t="s">
        <v>132</v>
      </c>
      <c r="K56" s="85" t="s">
        <v>133</v>
      </c>
      <c r="L56" s="85" t="s">
        <v>64</v>
      </c>
      <c r="M56" s="85" t="s">
        <v>235</v>
      </c>
      <c r="N56" s="192">
        <f t="shared" si="3"/>
        <v>-0.13699903999999999</v>
      </c>
      <c r="O56" s="193">
        <f t="shared" si="4"/>
        <v>-4695.8162042467138</v>
      </c>
      <c r="P56" s="138" t="s">
        <v>72</v>
      </c>
      <c r="Q56" s="138">
        <v>1</v>
      </c>
      <c r="R56" s="138" t="s">
        <v>169</v>
      </c>
      <c r="S56" s="94" t="s">
        <v>152</v>
      </c>
      <c r="T56" s="137" t="s">
        <v>83</v>
      </c>
      <c r="U56" s="137" t="s">
        <v>101</v>
      </c>
      <c r="V56" s="83" t="str">
        <f t="shared" si="5"/>
        <v>312UND22MSSCHOLZ-NON25529.064lbs-0.13699904Main Power Block - SS Sales</v>
      </c>
      <c r="W56" s="83"/>
    </row>
    <row r="57" spans="1:23" x14ac:dyDescent="0.25">
      <c r="A57" s="85" t="s">
        <v>137</v>
      </c>
      <c r="B57" s="86" t="s">
        <v>162</v>
      </c>
      <c r="C57" s="86">
        <v>1</v>
      </c>
      <c r="D57" s="85" t="s">
        <v>68</v>
      </c>
      <c r="E57" s="85" t="s">
        <v>191</v>
      </c>
      <c r="F57" s="90">
        <f>'Scholz Data'!$D$23/2</f>
        <v>185.18518518518519</v>
      </c>
      <c r="G57" s="85" t="s">
        <v>41</v>
      </c>
      <c r="H57" s="89">
        <f>'Scholz Data'!$E$23</f>
        <v>107.142</v>
      </c>
      <c r="I57" s="194">
        <f>'Scholz Data'!$F$23/2</f>
        <v>19444.444444444445</v>
      </c>
      <c r="J57" s="85" t="s">
        <v>138</v>
      </c>
      <c r="K57" s="85" t="s">
        <v>64</v>
      </c>
      <c r="L57" s="85" t="s">
        <v>64</v>
      </c>
      <c r="M57" s="85" t="s">
        <v>138</v>
      </c>
      <c r="N57" s="192">
        <f t="shared" si="3"/>
        <v>107.142</v>
      </c>
      <c r="O57" s="193">
        <f t="shared" si="4"/>
        <v>19444.444444444445</v>
      </c>
      <c r="P57" s="138" t="s">
        <v>72</v>
      </c>
      <c r="Q57" s="138">
        <v>1</v>
      </c>
      <c r="R57" s="138" t="s">
        <v>169</v>
      </c>
      <c r="S57" s="94" t="s">
        <v>150</v>
      </c>
      <c r="T57" s="137" t="s">
        <v>83</v>
      </c>
      <c r="U57" s="137" t="s">
        <v>101</v>
      </c>
      <c r="V57" s="83" t="str">
        <f t="shared" si="5"/>
        <v>314UND11LRSCHOLZ-NON185.185185185185cy107.142Main Power Block - Turbine Foundations Concrete</v>
      </c>
      <c r="W57" s="83"/>
    </row>
    <row r="58" spans="1:23" x14ac:dyDescent="0.25">
      <c r="A58" s="85" t="s">
        <v>137</v>
      </c>
      <c r="B58" s="86" t="s">
        <v>162</v>
      </c>
      <c r="C58" s="86">
        <v>2</v>
      </c>
      <c r="D58" s="85" t="s">
        <v>69</v>
      </c>
      <c r="E58" s="85" t="s">
        <v>191</v>
      </c>
      <c r="F58" s="90">
        <f>'Scholz Data'!$D$23/2</f>
        <v>185.18518518518519</v>
      </c>
      <c r="G58" s="85" t="s">
        <v>41</v>
      </c>
      <c r="H58" s="89">
        <f>'Scholz Data'!$E$23</f>
        <v>107.142</v>
      </c>
      <c r="I58" s="194">
        <f>'Scholz Data'!$F$23/2</f>
        <v>19444.444444444445</v>
      </c>
      <c r="J58" s="85" t="s">
        <v>138</v>
      </c>
      <c r="K58" s="85" t="s">
        <v>64</v>
      </c>
      <c r="L58" s="85" t="s">
        <v>64</v>
      </c>
      <c r="M58" s="85" t="s">
        <v>138</v>
      </c>
      <c r="N58" s="192">
        <f t="shared" si="3"/>
        <v>107.142</v>
      </c>
      <c r="O58" s="193">
        <f t="shared" si="4"/>
        <v>19444.444444444445</v>
      </c>
      <c r="P58" s="138" t="s">
        <v>72</v>
      </c>
      <c r="Q58" s="138">
        <v>1</v>
      </c>
      <c r="R58" s="138" t="s">
        <v>169</v>
      </c>
      <c r="S58" s="94" t="s">
        <v>150</v>
      </c>
      <c r="T58" s="137" t="s">
        <v>83</v>
      </c>
      <c r="U58" s="137" t="s">
        <v>101</v>
      </c>
      <c r="V58" s="83" t="str">
        <f t="shared" si="5"/>
        <v>314UND22LRSCHOLZ-NON185.185185185185cy107.142Main Power Block - Turbine Foundations Concrete</v>
      </c>
      <c r="W58" s="83"/>
    </row>
    <row r="59" spans="1:23" s="76" customFormat="1" x14ac:dyDescent="0.25">
      <c r="A59" s="85" t="s">
        <v>102</v>
      </c>
      <c r="B59" s="86" t="s">
        <v>155</v>
      </c>
      <c r="C59" s="86" t="s">
        <v>70</v>
      </c>
      <c r="D59" s="85" t="s">
        <v>71</v>
      </c>
      <c r="E59" s="85" t="s">
        <v>191</v>
      </c>
      <c r="F59" s="90">
        <f>'Scholz Data'!$D$11</f>
        <v>100000</v>
      </c>
      <c r="G59" s="85" t="s">
        <v>27</v>
      </c>
      <c r="H59" s="89">
        <v>2500</v>
      </c>
      <c r="I59" s="194">
        <f>'Scholz Data'!$F$11</f>
        <v>0</v>
      </c>
      <c r="J59" s="85" t="s">
        <v>26</v>
      </c>
      <c r="K59" s="85" t="s">
        <v>64</v>
      </c>
      <c r="L59" s="85" t="s">
        <v>64</v>
      </c>
      <c r="M59" s="85" t="s">
        <v>26</v>
      </c>
      <c r="N59" s="192">
        <f t="shared" si="3"/>
        <v>2500</v>
      </c>
      <c r="O59" s="193">
        <f t="shared" si="4"/>
        <v>0</v>
      </c>
      <c r="P59" s="138" t="s">
        <v>72</v>
      </c>
      <c r="Q59" s="138">
        <v>1</v>
      </c>
      <c r="R59" s="138" t="s">
        <v>169</v>
      </c>
      <c r="S59" s="94" t="s">
        <v>150</v>
      </c>
      <c r="T59" s="137" t="s">
        <v>83</v>
      </c>
      <c r="U59" s="137" t="s">
        <v>101</v>
      </c>
      <c r="V59" s="83" t="str">
        <f t="shared" si="5"/>
        <v>3110061CCLRSCHOLZ-NON100000sf2500Pavement Repairs</v>
      </c>
      <c r="W59" s="83"/>
    </row>
    <row r="60" spans="1:23" s="76" customFormat="1" x14ac:dyDescent="0.25">
      <c r="A60" s="85" t="s">
        <v>95</v>
      </c>
      <c r="B60" s="86" t="s">
        <v>156</v>
      </c>
      <c r="C60" s="86" t="s">
        <v>70</v>
      </c>
      <c r="D60" s="85" t="s">
        <v>71</v>
      </c>
      <c r="E60" s="85" t="s">
        <v>191</v>
      </c>
      <c r="F60" s="87">
        <v>1</v>
      </c>
      <c r="G60" s="85" t="s">
        <v>21</v>
      </c>
      <c r="H60" s="89">
        <f>'Scholz Data'!$E$6</f>
        <v>125000</v>
      </c>
      <c r="I60" s="194">
        <f>'Scholz Data'!$F$6</f>
        <v>125000</v>
      </c>
      <c r="J60" s="85" t="s">
        <v>22</v>
      </c>
      <c r="K60" s="85" t="s">
        <v>64</v>
      </c>
      <c r="L60" s="85" t="s">
        <v>64</v>
      </c>
      <c r="M60" s="85" t="s">
        <v>22</v>
      </c>
      <c r="N60" s="192">
        <f t="shared" si="3"/>
        <v>125000</v>
      </c>
      <c r="O60" s="193">
        <f t="shared" si="4"/>
        <v>125000</v>
      </c>
      <c r="P60" s="138" t="s">
        <v>72</v>
      </c>
      <c r="Q60" s="138">
        <v>1</v>
      </c>
      <c r="R60" s="138" t="s">
        <v>169</v>
      </c>
      <c r="S60" s="94" t="s">
        <v>150</v>
      </c>
      <c r="T60" s="137" t="s">
        <v>83</v>
      </c>
      <c r="U60" s="137"/>
      <c r="V60" s="83" t="str">
        <f t="shared" si="5"/>
        <v>3080268EACCLRSCHOLZ-NON1ls125000Perform environmental survey of above grade structures</v>
      </c>
      <c r="W60" s="83"/>
    </row>
    <row r="61" spans="1:23" s="76" customFormat="1" x14ac:dyDescent="0.25">
      <c r="A61" s="85" t="s">
        <v>93</v>
      </c>
      <c r="B61" s="86" t="s">
        <v>156</v>
      </c>
      <c r="C61" s="86" t="s">
        <v>70</v>
      </c>
      <c r="D61" s="85" t="s">
        <v>71</v>
      </c>
      <c r="E61" s="85" t="s">
        <v>194</v>
      </c>
      <c r="F61" s="87">
        <v>1</v>
      </c>
      <c r="G61" s="85" t="s">
        <v>81</v>
      </c>
      <c r="H61" s="89">
        <f>SUMIFS($I$3:$I$95,$E$3:$E$95,$E61,$U$3:$U$95,"MARKUP",$S$3:$S$95,"REMOVAL")*0.0008</f>
        <v>1200.4392</v>
      </c>
      <c r="I61" s="89">
        <f>F61*H61</f>
        <v>1200.4392</v>
      </c>
      <c r="J61" s="107" t="s">
        <v>94</v>
      </c>
      <c r="K61" s="85" t="s">
        <v>64</v>
      </c>
      <c r="L61" s="85" t="s">
        <v>64</v>
      </c>
      <c r="M61" s="85" t="s">
        <v>94</v>
      </c>
      <c r="N61" s="192">
        <f t="shared" si="3"/>
        <v>1200.4392</v>
      </c>
      <c r="O61" s="193">
        <f t="shared" si="4"/>
        <v>1200.4392</v>
      </c>
      <c r="P61" s="138" t="s">
        <v>73</v>
      </c>
      <c r="Q61" s="138">
        <v>1</v>
      </c>
      <c r="R61" s="138" t="s">
        <v>169</v>
      </c>
      <c r="S61" s="94" t="s">
        <v>150</v>
      </c>
      <c r="T61" s="137" t="s">
        <v>67</v>
      </c>
      <c r="U61" s="137"/>
      <c r="V61" s="83" t="str">
        <f t="shared" si="5"/>
        <v>3080268CCLRSCHOLZ-ASB1LT1200.4392PERMITS</v>
      </c>
      <c r="W61" s="83"/>
    </row>
    <row r="62" spans="1:23" x14ac:dyDescent="0.25">
      <c r="A62" s="96" t="s">
        <v>93</v>
      </c>
      <c r="B62" s="86" t="s">
        <v>156</v>
      </c>
      <c r="C62" s="94" t="s">
        <v>70</v>
      </c>
      <c r="D62" s="96" t="s">
        <v>71</v>
      </c>
      <c r="E62" s="96" t="s">
        <v>192</v>
      </c>
      <c r="F62" s="88">
        <v>1</v>
      </c>
      <c r="G62" s="96" t="s">
        <v>81</v>
      </c>
      <c r="H62" s="103">
        <f>SUMIFS($I$3:$I$95,$E$3:$E$95,$E62,$U$3:$U$95,"MARKUP",$S$3:$S$95,"REMOVAL")*0.0008</f>
        <v>134.4</v>
      </c>
      <c r="I62" s="103">
        <f>F62*H62</f>
        <v>134.4</v>
      </c>
      <c r="J62" s="201" t="s">
        <v>94</v>
      </c>
      <c r="K62" s="96" t="s">
        <v>64</v>
      </c>
      <c r="L62" s="96" t="s">
        <v>64</v>
      </c>
      <c r="M62" s="85" t="s">
        <v>94</v>
      </c>
      <c r="N62" s="192">
        <f t="shared" si="3"/>
        <v>134.4</v>
      </c>
      <c r="O62" s="193">
        <f t="shared" si="4"/>
        <v>134.4</v>
      </c>
      <c r="P62" s="138" t="s">
        <v>66</v>
      </c>
      <c r="Q62" s="138">
        <v>1</v>
      </c>
      <c r="R62" s="138" t="s">
        <v>169</v>
      </c>
      <c r="S62" s="94" t="s">
        <v>150</v>
      </c>
      <c r="T62" s="137" t="s">
        <v>67</v>
      </c>
      <c r="V62" s="83" t="str">
        <f t="shared" si="5"/>
        <v>3080268CCLRSCHOLZ-ECO1LT134.4PERMITS</v>
      </c>
      <c r="W62" s="83"/>
    </row>
    <row r="63" spans="1:23" x14ac:dyDescent="0.25">
      <c r="A63" s="96" t="s">
        <v>93</v>
      </c>
      <c r="B63" s="86" t="s">
        <v>156</v>
      </c>
      <c r="C63" s="94" t="s">
        <v>70</v>
      </c>
      <c r="D63" s="96" t="s">
        <v>71</v>
      </c>
      <c r="E63" s="96" t="s">
        <v>191</v>
      </c>
      <c r="F63" s="88">
        <v>1</v>
      </c>
      <c r="G63" s="96" t="s">
        <v>81</v>
      </c>
      <c r="H63" s="103">
        <f>SUMIFS($I$3:$I$95,$E$3:$E$95,$E63,$U$3:$U$95,"MARKUP",$S$3:$S$95,"REMOVAL")*0.0008</f>
        <v>2105.440754312533</v>
      </c>
      <c r="I63" s="103">
        <f>F63*H63</f>
        <v>2105.440754312533</v>
      </c>
      <c r="J63" s="201" t="s">
        <v>94</v>
      </c>
      <c r="K63" s="96" t="s">
        <v>64</v>
      </c>
      <c r="L63" s="96" t="s">
        <v>64</v>
      </c>
      <c r="M63" s="85" t="s">
        <v>94</v>
      </c>
      <c r="N63" s="192">
        <f t="shared" si="3"/>
        <v>2105.440754312533</v>
      </c>
      <c r="O63" s="193">
        <f t="shared" si="4"/>
        <v>2105.440754312533</v>
      </c>
      <c r="P63" s="138" t="s">
        <v>72</v>
      </c>
      <c r="Q63" s="138">
        <v>1</v>
      </c>
      <c r="R63" s="138" t="s">
        <v>169</v>
      </c>
      <c r="S63" s="94" t="s">
        <v>150</v>
      </c>
      <c r="T63" s="137" t="s">
        <v>67</v>
      </c>
      <c r="V63" s="83" t="str">
        <f t="shared" si="5"/>
        <v>3080268CCLRSCHOLZ-NON1LT2105.44075431253PERMITS</v>
      </c>
      <c r="W63" s="83"/>
    </row>
    <row r="64" spans="1:23" x14ac:dyDescent="0.25">
      <c r="A64" s="96" t="s">
        <v>75</v>
      </c>
      <c r="B64" s="86" t="s">
        <v>158</v>
      </c>
      <c r="C64" s="94" t="s">
        <v>70</v>
      </c>
      <c r="D64" s="96" t="s">
        <v>71</v>
      </c>
      <c r="E64" s="96" t="s">
        <v>191</v>
      </c>
      <c r="F64" s="88">
        <v>1</v>
      </c>
      <c r="G64" s="96" t="s">
        <v>76</v>
      </c>
      <c r="H64" s="103">
        <v>135010.76</v>
      </c>
      <c r="I64" s="103">
        <f>F64*H64</f>
        <v>135010.76</v>
      </c>
      <c r="J64" s="96" t="s">
        <v>77</v>
      </c>
      <c r="K64" s="96" t="s">
        <v>64</v>
      </c>
      <c r="L64" s="96" t="s">
        <v>64</v>
      </c>
      <c r="M64" s="85" t="s">
        <v>77</v>
      </c>
      <c r="N64" s="192">
        <f t="shared" si="3"/>
        <v>135010.76</v>
      </c>
      <c r="O64" s="193">
        <f t="shared" si="4"/>
        <v>135010.76</v>
      </c>
      <c r="P64" s="138" t="s">
        <v>72</v>
      </c>
      <c r="Q64" s="138">
        <v>1</v>
      </c>
      <c r="R64" s="138" t="s">
        <v>169</v>
      </c>
      <c r="S64" s="94" t="s">
        <v>150</v>
      </c>
      <c r="T64" s="137" t="s">
        <v>67</v>
      </c>
      <c r="V64" s="83" t="str">
        <f t="shared" si="5"/>
        <v>3070041CCLRSCHOLZ-NON1MY135010.76POWER GENERATION SUPERVISION</v>
      </c>
      <c r="W64" s="83"/>
    </row>
    <row r="65" spans="1:23" x14ac:dyDescent="0.25">
      <c r="A65" s="96" t="s">
        <v>127</v>
      </c>
      <c r="B65" s="86" t="s">
        <v>161</v>
      </c>
      <c r="C65" s="94">
        <v>1</v>
      </c>
      <c r="D65" s="96" t="s">
        <v>68</v>
      </c>
      <c r="E65" s="200" t="s">
        <v>192</v>
      </c>
      <c r="F65" s="127">
        <f>'Scholz Data'!$D$34/2</f>
        <v>350</v>
      </c>
      <c r="G65" s="96" t="s">
        <v>34</v>
      </c>
      <c r="H65" s="103">
        <f>'Scholz Data'!$E$34</f>
        <v>244.89599999999999</v>
      </c>
      <c r="I65" s="199">
        <f>'Scholz Data'!$F$34/2</f>
        <v>84000</v>
      </c>
      <c r="J65" s="96" t="s">
        <v>134</v>
      </c>
      <c r="K65" s="96" t="s">
        <v>64</v>
      </c>
      <c r="L65" s="96" t="s">
        <v>64</v>
      </c>
      <c r="M65" s="85" t="s">
        <v>134</v>
      </c>
      <c r="N65" s="192">
        <f t="shared" si="3"/>
        <v>244.89599999999999</v>
      </c>
      <c r="O65" s="193">
        <f t="shared" si="4"/>
        <v>84000</v>
      </c>
      <c r="P65" s="138" t="s">
        <v>66</v>
      </c>
      <c r="Q65" s="138">
        <v>1</v>
      </c>
      <c r="R65" s="138" t="s">
        <v>169</v>
      </c>
      <c r="S65" s="94" t="s">
        <v>150</v>
      </c>
      <c r="T65" s="137" t="s">
        <v>83</v>
      </c>
      <c r="U65" s="137" t="s">
        <v>101</v>
      </c>
      <c r="V65" s="83" t="str">
        <f t="shared" si="5"/>
        <v>312UND11LRSCHOLZ-ECO350nt244.896Precipitators - DEMO</v>
      </c>
      <c r="W65" s="83"/>
    </row>
    <row r="66" spans="1:23" x14ac:dyDescent="0.25">
      <c r="A66" s="85" t="s">
        <v>127</v>
      </c>
      <c r="B66" s="86" t="s">
        <v>161</v>
      </c>
      <c r="C66" s="86">
        <v>2</v>
      </c>
      <c r="D66" s="85" t="s">
        <v>69</v>
      </c>
      <c r="E66" s="102" t="s">
        <v>192</v>
      </c>
      <c r="F66" s="90">
        <f>'Scholz Data'!$D$34/2</f>
        <v>350</v>
      </c>
      <c r="G66" s="85" t="s">
        <v>34</v>
      </c>
      <c r="H66" s="89">
        <f>'Scholz Data'!$E$34</f>
        <v>244.89599999999999</v>
      </c>
      <c r="I66" s="194">
        <f>'Scholz Data'!$F$34/2</f>
        <v>84000</v>
      </c>
      <c r="J66" s="85" t="s">
        <v>134</v>
      </c>
      <c r="K66" s="85" t="s">
        <v>64</v>
      </c>
      <c r="L66" s="85" t="s">
        <v>64</v>
      </c>
      <c r="M66" s="85" t="s">
        <v>134</v>
      </c>
      <c r="N66" s="192">
        <f t="shared" si="3"/>
        <v>244.89599999999999</v>
      </c>
      <c r="O66" s="193">
        <f t="shared" si="4"/>
        <v>84000</v>
      </c>
      <c r="P66" s="138" t="s">
        <v>66</v>
      </c>
      <c r="Q66" s="138">
        <v>1</v>
      </c>
      <c r="R66" s="138" t="s">
        <v>169</v>
      </c>
      <c r="S66" s="94" t="s">
        <v>150</v>
      </c>
      <c r="T66" s="137" t="s">
        <v>83</v>
      </c>
      <c r="U66" s="137" t="s">
        <v>101</v>
      </c>
      <c r="V66" s="83" t="str">
        <f t="shared" si="5"/>
        <v>312UND22LRSCHOLZ-ECO350nt244.896Precipitators - DEMO</v>
      </c>
      <c r="W66" s="83"/>
    </row>
    <row r="67" spans="1:23" x14ac:dyDescent="0.25">
      <c r="A67" s="85" t="s">
        <v>127</v>
      </c>
      <c r="B67" s="86" t="s">
        <v>161</v>
      </c>
      <c r="C67" s="86">
        <v>1</v>
      </c>
      <c r="D67" s="85" t="s">
        <v>120</v>
      </c>
      <c r="E67" s="102" t="s">
        <v>192</v>
      </c>
      <c r="F67" s="90">
        <f>'Scholz Data'!$D$35/2</f>
        <v>350</v>
      </c>
      <c r="G67" s="85" t="s">
        <v>34</v>
      </c>
      <c r="H67" s="89">
        <f>'Scholz Data'!$E$35</f>
        <v>-108.3695731319762</v>
      </c>
      <c r="I67" s="194">
        <f>'Scholz Data'!$F$35/2</f>
        <v>-63184.210526315786</v>
      </c>
      <c r="J67" s="85" t="s">
        <v>135</v>
      </c>
      <c r="K67" s="85" t="s">
        <v>116</v>
      </c>
      <c r="L67" s="85" t="s">
        <v>64</v>
      </c>
      <c r="M67" s="85" t="s">
        <v>235</v>
      </c>
      <c r="N67" s="192">
        <f t="shared" ref="N67:N95" si="6">H67</f>
        <v>-108.3695731319762</v>
      </c>
      <c r="O67" s="193">
        <f t="shared" ref="O67:O95" si="7">I67</f>
        <v>-63184.210526315786</v>
      </c>
      <c r="P67" s="138" t="s">
        <v>66</v>
      </c>
      <c r="Q67" s="138">
        <v>1</v>
      </c>
      <c r="R67" s="138" t="s">
        <v>169</v>
      </c>
      <c r="S67" s="94" t="s">
        <v>152</v>
      </c>
      <c r="T67" s="137" t="s">
        <v>83</v>
      </c>
      <c r="U67" s="137" t="s">
        <v>101</v>
      </c>
      <c r="V67" s="83" t="str">
        <f t="shared" ref="V67:V87" si="8">A67&amp;C67&amp;D67&amp;E67&amp;F67&amp;G67&amp;H67&amp;J67</f>
        <v>312UND11MSSCHOLZ-ECO350nt-108.369573131976Precipitators - FE Sales</v>
      </c>
      <c r="W67" s="83"/>
    </row>
    <row r="68" spans="1:23" x14ac:dyDescent="0.25">
      <c r="A68" s="85" t="s">
        <v>127</v>
      </c>
      <c r="B68" s="86" t="s">
        <v>161</v>
      </c>
      <c r="C68" s="86">
        <v>2</v>
      </c>
      <c r="D68" s="85" t="s">
        <v>122</v>
      </c>
      <c r="E68" s="102" t="s">
        <v>192</v>
      </c>
      <c r="F68" s="90">
        <f>'Scholz Data'!$D$35/2</f>
        <v>350</v>
      </c>
      <c r="G68" s="85" t="s">
        <v>34</v>
      </c>
      <c r="H68" s="89">
        <f>'Scholz Data'!$E$35</f>
        <v>-108.3695731319762</v>
      </c>
      <c r="I68" s="194">
        <f>'Scholz Data'!$F$35/2</f>
        <v>-63184.210526315786</v>
      </c>
      <c r="J68" s="85" t="s">
        <v>135</v>
      </c>
      <c r="K68" s="85" t="s">
        <v>116</v>
      </c>
      <c r="L68" s="85" t="s">
        <v>64</v>
      </c>
      <c r="M68" s="85" t="s">
        <v>235</v>
      </c>
      <c r="N68" s="192">
        <f t="shared" si="6"/>
        <v>-108.3695731319762</v>
      </c>
      <c r="O68" s="193">
        <f t="shared" si="7"/>
        <v>-63184.210526315786</v>
      </c>
      <c r="P68" s="138" t="s">
        <v>66</v>
      </c>
      <c r="Q68" s="138">
        <v>1</v>
      </c>
      <c r="R68" s="138" t="s">
        <v>169</v>
      </c>
      <c r="S68" s="94" t="s">
        <v>152</v>
      </c>
      <c r="T68" s="137" t="s">
        <v>83</v>
      </c>
      <c r="U68" s="137" t="s">
        <v>101</v>
      </c>
      <c r="V68" s="83" t="str">
        <f t="shared" si="8"/>
        <v>312UND22MSSCHOLZ-ECO350nt-108.369573131976Precipitators - FE Sales</v>
      </c>
      <c r="W68" s="83"/>
    </row>
    <row r="69" spans="1:23" x14ac:dyDescent="0.25">
      <c r="A69" s="85" t="s">
        <v>106</v>
      </c>
      <c r="B69" s="86" t="s">
        <v>155</v>
      </c>
      <c r="C69" s="86">
        <v>1</v>
      </c>
      <c r="D69" s="85" t="s">
        <v>107</v>
      </c>
      <c r="E69" s="85" t="s">
        <v>191</v>
      </c>
      <c r="F69" s="90">
        <f>'Scholz Data'!$D$27/2</f>
        <v>9000</v>
      </c>
      <c r="G69" s="85" t="s">
        <v>34</v>
      </c>
      <c r="H69" s="89">
        <f>'Scholz Data'!$E$27</f>
        <v>15.305999999999999</v>
      </c>
      <c r="I69" s="194">
        <f>'Scholz Data'!$F$27/2</f>
        <v>135000</v>
      </c>
      <c r="J69" s="85" t="s">
        <v>108</v>
      </c>
      <c r="K69" s="85" t="s">
        <v>64</v>
      </c>
      <c r="L69" s="85" t="s">
        <v>64</v>
      </c>
      <c r="M69" s="85" t="s">
        <v>108</v>
      </c>
      <c r="N69" s="192">
        <f t="shared" si="6"/>
        <v>15.305999999999999</v>
      </c>
      <c r="O69" s="193">
        <f t="shared" si="7"/>
        <v>135000</v>
      </c>
      <c r="P69" s="138" t="s">
        <v>72</v>
      </c>
      <c r="Q69" s="138">
        <v>1</v>
      </c>
      <c r="R69" s="138" t="s">
        <v>169</v>
      </c>
      <c r="S69" s="94" t="s">
        <v>153</v>
      </c>
      <c r="T69" s="137" t="s">
        <v>83</v>
      </c>
      <c r="U69" s="137" t="s">
        <v>101</v>
      </c>
      <c r="V69" s="83" t="str">
        <f t="shared" si="8"/>
        <v>3111002CN11LDSCHOLZ-NON9000nt15.306Process, haul and backfill brick &amp; block</v>
      </c>
      <c r="W69" s="83"/>
    </row>
    <row r="70" spans="1:23" x14ac:dyDescent="0.25">
      <c r="A70" s="85" t="s">
        <v>106</v>
      </c>
      <c r="B70" s="86" t="s">
        <v>155</v>
      </c>
      <c r="C70" s="86">
        <v>2</v>
      </c>
      <c r="D70" s="85" t="s">
        <v>109</v>
      </c>
      <c r="E70" s="85" t="s">
        <v>191</v>
      </c>
      <c r="F70" s="90">
        <f>'Scholz Data'!$D$27/2</f>
        <v>9000</v>
      </c>
      <c r="G70" s="85" t="s">
        <v>34</v>
      </c>
      <c r="H70" s="89">
        <f>'Scholz Data'!$E$27</f>
        <v>15.305999999999999</v>
      </c>
      <c r="I70" s="194">
        <f>'Scholz Data'!$F$27/2</f>
        <v>135000</v>
      </c>
      <c r="J70" s="85" t="s">
        <v>108</v>
      </c>
      <c r="K70" s="85" t="s">
        <v>64</v>
      </c>
      <c r="L70" s="85" t="s">
        <v>64</v>
      </c>
      <c r="M70" s="85" t="s">
        <v>108</v>
      </c>
      <c r="N70" s="192">
        <f t="shared" si="6"/>
        <v>15.305999999999999</v>
      </c>
      <c r="O70" s="193">
        <f t="shared" si="7"/>
        <v>135000</v>
      </c>
      <c r="P70" s="138" t="s">
        <v>72</v>
      </c>
      <c r="Q70" s="138">
        <v>1</v>
      </c>
      <c r="R70" s="138" t="s">
        <v>169</v>
      </c>
      <c r="S70" s="94" t="s">
        <v>153</v>
      </c>
      <c r="T70" s="137" t="s">
        <v>83</v>
      </c>
      <c r="U70" s="137" t="s">
        <v>101</v>
      </c>
      <c r="V70" s="83" t="str">
        <f t="shared" si="8"/>
        <v>3111002CN22LDSCHOLZ-NON9000nt15.306Process, haul and backfill brick &amp; block</v>
      </c>
      <c r="W70" s="83"/>
    </row>
    <row r="71" spans="1:23" x14ac:dyDescent="0.25">
      <c r="A71" s="110">
        <v>3080241</v>
      </c>
      <c r="B71" s="86" t="s">
        <v>156</v>
      </c>
      <c r="C71" s="86" t="s">
        <v>70</v>
      </c>
      <c r="D71" s="85" t="s">
        <v>71</v>
      </c>
      <c r="E71" s="85" t="s">
        <v>194</v>
      </c>
      <c r="F71" s="87">
        <v>1</v>
      </c>
      <c r="G71" s="85" t="s">
        <v>14</v>
      </c>
      <c r="H71" s="89">
        <f>SUMIFS($I$3:$I$95,$E$3:$E$95,$E71,$U$3:$U$95,"MARKUP",$S$3:$S$95,"REMOVAL")*0.01</f>
        <v>15005.49</v>
      </c>
      <c r="I71" s="89">
        <f>F71*H71</f>
        <v>15005.49</v>
      </c>
      <c r="J71" s="109" t="s">
        <v>89</v>
      </c>
      <c r="K71" s="85" t="s">
        <v>64</v>
      </c>
      <c r="L71" s="85" t="s">
        <v>64</v>
      </c>
      <c r="M71" s="85" t="s">
        <v>92</v>
      </c>
      <c r="N71" s="192">
        <f t="shared" si="6"/>
        <v>15005.49</v>
      </c>
      <c r="O71" s="193">
        <f t="shared" si="7"/>
        <v>15005.49</v>
      </c>
      <c r="P71" s="138" t="s">
        <v>73</v>
      </c>
      <c r="Q71" s="138">
        <v>1</v>
      </c>
      <c r="R71" s="138" t="s">
        <v>169</v>
      </c>
      <c r="S71" s="94" t="s">
        <v>150</v>
      </c>
      <c r="T71" s="137" t="s">
        <v>67</v>
      </c>
      <c r="V71" s="83" t="str">
        <f t="shared" si="8"/>
        <v>3080241CCLRSCHOLZ-ASB1%15005.49SCS ENGINEERING</v>
      </c>
      <c r="W71" s="83"/>
    </row>
    <row r="72" spans="1:23" x14ac:dyDescent="0.25">
      <c r="A72" s="110">
        <v>3080241</v>
      </c>
      <c r="B72" s="86" t="s">
        <v>156</v>
      </c>
      <c r="C72" s="86" t="s">
        <v>70</v>
      </c>
      <c r="D72" s="85" t="s">
        <v>71</v>
      </c>
      <c r="E72" s="85" t="s">
        <v>192</v>
      </c>
      <c r="F72" s="105">
        <v>3</v>
      </c>
      <c r="G72" s="85" t="s">
        <v>14</v>
      </c>
      <c r="H72" s="89">
        <f>SUMIFS($I$3:$I$95,$E$3:$E$95,$E72,$U$3:$U$95,"MARKUP",$S$3:$S$95,"REMOVAL")*0.01</f>
        <v>1680</v>
      </c>
      <c r="I72" s="89">
        <f>F72*H72</f>
        <v>5040</v>
      </c>
      <c r="J72" s="109" t="s">
        <v>89</v>
      </c>
      <c r="K72" s="85" t="s">
        <v>64</v>
      </c>
      <c r="L72" s="85" t="s">
        <v>64</v>
      </c>
      <c r="M72" s="85" t="s">
        <v>92</v>
      </c>
      <c r="N72" s="192">
        <f t="shared" si="6"/>
        <v>1680</v>
      </c>
      <c r="O72" s="193">
        <f t="shared" si="7"/>
        <v>5040</v>
      </c>
      <c r="P72" s="138" t="s">
        <v>66</v>
      </c>
      <c r="Q72" s="138">
        <v>1</v>
      </c>
      <c r="R72" s="138" t="s">
        <v>169</v>
      </c>
      <c r="S72" s="94" t="s">
        <v>150</v>
      </c>
      <c r="T72" s="137" t="s">
        <v>67</v>
      </c>
      <c r="V72" s="83" t="str">
        <f t="shared" si="8"/>
        <v>3080241CCLRSCHOLZ-ECO3%1680SCS ENGINEERING</v>
      </c>
      <c r="W72" s="83"/>
    </row>
    <row r="73" spans="1:23" x14ac:dyDescent="0.25">
      <c r="A73" s="110">
        <v>3080241</v>
      </c>
      <c r="B73" s="86" t="s">
        <v>156</v>
      </c>
      <c r="C73" s="86" t="s">
        <v>70</v>
      </c>
      <c r="D73" s="85" t="s">
        <v>71</v>
      </c>
      <c r="E73" s="85" t="s">
        <v>191</v>
      </c>
      <c r="F73" s="105">
        <v>3</v>
      </c>
      <c r="G73" s="85" t="s">
        <v>14</v>
      </c>
      <c r="H73" s="89">
        <f>SUMIFS($I$3:$I$95,$E$3:$E$95,$E73,$U$3:$U$95,"MARKUP",$S$3:$S$95,"REMOVAL")*0.01</f>
        <v>26318.009428906662</v>
      </c>
      <c r="I73" s="89">
        <f>F73*H73</f>
        <v>78954.028286719986</v>
      </c>
      <c r="J73" s="109" t="s">
        <v>89</v>
      </c>
      <c r="K73" s="85" t="s">
        <v>64</v>
      </c>
      <c r="L73" s="85" t="s">
        <v>64</v>
      </c>
      <c r="M73" s="85" t="s">
        <v>92</v>
      </c>
      <c r="N73" s="192">
        <f t="shared" si="6"/>
        <v>26318.009428906662</v>
      </c>
      <c r="O73" s="193">
        <f t="shared" si="7"/>
        <v>78954.028286719986</v>
      </c>
      <c r="P73" s="138" t="s">
        <v>72</v>
      </c>
      <c r="Q73" s="138">
        <v>1</v>
      </c>
      <c r="R73" s="138" t="s">
        <v>169</v>
      </c>
      <c r="S73" s="94" t="s">
        <v>150</v>
      </c>
      <c r="T73" s="137" t="s">
        <v>67</v>
      </c>
      <c r="V73" s="83" t="str">
        <f t="shared" si="8"/>
        <v>3080241CCLRSCHOLZ-NON3%26318.0094289067SCS ENGINEERING</v>
      </c>
      <c r="W73" s="83"/>
    </row>
    <row r="74" spans="1:23" x14ac:dyDescent="0.25">
      <c r="A74" s="85" t="s">
        <v>84</v>
      </c>
      <c r="B74" s="86" t="s">
        <v>158</v>
      </c>
      <c r="C74" s="86" t="s">
        <v>70</v>
      </c>
      <c r="D74" s="85" t="s">
        <v>71</v>
      </c>
      <c r="E74" s="85" t="s">
        <v>191</v>
      </c>
      <c r="F74" s="87">
        <v>2</v>
      </c>
      <c r="G74" s="85" t="s">
        <v>76</v>
      </c>
      <c r="H74" s="89">
        <v>50750.31</v>
      </c>
      <c r="I74" s="89">
        <f>F74*H74</f>
        <v>101500.62</v>
      </c>
      <c r="J74" s="85" t="s">
        <v>85</v>
      </c>
      <c r="K74" s="85" t="s">
        <v>64</v>
      </c>
      <c r="L74" s="85" t="s">
        <v>64</v>
      </c>
      <c r="M74" s="85" t="s">
        <v>85</v>
      </c>
      <c r="N74" s="192">
        <f t="shared" si="6"/>
        <v>50750.31</v>
      </c>
      <c r="O74" s="193">
        <f t="shared" si="7"/>
        <v>101500.62</v>
      </c>
      <c r="P74" s="138" t="s">
        <v>72</v>
      </c>
      <c r="Q74" s="138">
        <v>1</v>
      </c>
      <c r="R74" s="138" t="s">
        <v>169</v>
      </c>
      <c r="S74" s="94" t="s">
        <v>150</v>
      </c>
      <c r="T74" s="137" t="s">
        <v>67</v>
      </c>
      <c r="V74" s="83" t="str">
        <f t="shared" si="8"/>
        <v>3070221CCLRSCHOLZ-NON2MY50750.31SECURITY SERVICES</v>
      </c>
      <c r="W74" s="83"/>
    </row>
    <row r="75" spans="1:23" x14ac:dyDescent="0.25">
      <c r="A75" s="85" t="s">
        <v>90</v>
      </c>
      <c r="B75" s="86" t="s">
        <v>156</v>
      </c>
      <c r="C75" s="86" t="s">
        <v>70</v>
      </c>
      <c r="D75" s="85" t="s">
        <v>71</v>
      </c>
      <c r="E75" s="85" t="s">
        <v>191</v>
      </c>
      <c r="F75" s="87">
        <v>1</v>
      </c>
      <c r="G75" s="85" t="s">
        <v>21</v>
      </c>
      <c r="H75" s="89">
        <f>'Scholz Data'!$E$7</f>
        <v>30000</v>
      </c>
      <c r="I75" s="194">
        <f>'Scholz Data'!$F$7</f>
        <v>30000</v>
      </c>
      <c r="J75" s="85" t="s">
        <v>23</v>
      </c>
      <c r="K75" s="85" t="s">
        <v>64</v>
      </c>
      <c r="L75" s="85" t="s">
        <v>64</v>
      </c>
      <c r="M75" s="85" t="s">
        <v>23</v>
      </c>
      <c r="N75" s="192">
        <f t="shared" si="6"/>
        <v>30000</v>
      </c>
      <c r="O75" s="193">
        <f t="shared" si="7"/>
        <v>30000</v>
      </c>
      <c r="P75" s="138" t="s">
        <v>72</v>
      </c>
      <c r="Q75" s="138">
        <v>1</v>
      </c>
      <c r="R75" s="138" t="s">
        <v>169</v>
      </c>
      <c r="S75" s="94" t="s">
        <v>150</v>
      </c>
      <c r="T75" s="137" t="s">
        <v>83</v>
      </c>
      <c r="V75" s="83" t="str">
        <f t="shared" si="8"/>
        <v>3080241SWCCLRSCHOLZ-NON1ls30000Storm Water Prevention Plan</v>
      </c>
      <c r="W75" s="83"/>
    </row>
    <row r="76" spans="1:23" x14ac:dyDescent="0.25">
      <c r="A76" s="85" t="s">
        <v>78</v>
      </c>
      <c r="B76" s="86" t="s">
        <v>158</v>
      </c>
      <c r="C76" s="86" t="s">
        <v>70</v>
      </c>
      <c r="D76" s="85" t="s">
        <v>71</v>
      </c>
      <c r="E76" s="85" t="s">
        <v>191</v>
      </c>
      <c r="F76" s="87">
        <v>2</v>
      </c>
      <c r="G76" s="85" t="s">
        <v>14</v>
      </c>
      <c r="H76" s="106">
        <f>SUMIFS($I$3:$I$95,$E$3:$E$95,$E76,$U$3:$U$95,"MARKUP",$S$3:$S$95,"REMOVAL")*0.01</f>
        <v>26318.009428906662</v>
      </c>
      <c r="I76" s="106">
        <f>(F76*H76)-200000</f>
        <v>-147363.98114218668</v>
      </c>
      <c r="J76" s="107" t="s">
        <v>79</v>
      </c>
      <c r="K76" s="85" t="s">
        <v>64</v>
      </c>
      <c r="L76" s="85" t="s">
        <v>64</v>
      </c>
      <c r="M76" s="85" t="s">
        <v>166</v>
      </c>
      <c r="N76" s="192">
        <f t="shared" si="6"/>
        <v>26318.009428906662</v>
      </c>
      <c r="O76" s="193">
        <f t="shared" si="7"/>
        <v>-147363.98114218668</v>
      </c>
      <c r="P76" s="138" t="s">
        <v>72</v>
      </c>
      <c r="Q76" s="138">
        <v>1</v>
      </c>
      <c r="R76" s="138" t="s">
        <v>169</v>
      </c>
      <c r="S76" s="94" t="s">
        <v>150</v>
      </c>
      <c r="T76" s="137" t="s">
        <v>67</v>
      </c>
      <c r="V76" s="83" t="str">
        <f t="shared" si="8"/>
        <v>3070201CCLRSCHOLZ-NON2%26318.0094289067TEMPORARY CONSTRUCTION SERVICES</v>
      </c>
      <c r="W76" s="83"/>
    </row>
    <row r="77" spans="1:23" x14ac:dyDescent="0.25">
      <c r="A77" s="85" t="s">
        <v>78</v>
      </c>
      <c r="B77" s="86" t="s">
        <v>158</v>
      </c>
      <c r="C77" s="86" t="s">
        <v>70</v>
      </c>
      <c r="D77" s="85" t="s">
        <v>71</v>
      </c>
      <c r="E77" s="85" t="s">
        <v>194</v>
      </c>
      <c r="F77" s="105">
        <v>1</v>
      </c>
      <c r="G77" s="85" t="s">
        <v>14</v>
      </c>
      <c r="H77" s="106">
        <f>SUMIFS($I$3:$I$95,$E$3:$E$95,$E77,$U$3:$U$95,"MARKUP",$S$3:$S$95,"REMOVAL")*0.01</f>
        <v>15005.49</v>
      </c>
      <c r="I77" s="89">
        <f>F77*H77</f>
        <v>15005.49</v>
      </c>
      <c r="J77" s="107" t="s">
        <v>79</v>
      </c>
      <c r="K77" s="85" t="s">
        <v>64</v>
      </c>
      <c r="L77" s="85" t="s">
        <v>64</v>
      </c>
      <c r="M77" s="85" t="s">
        <v>79</v>
      </c>
      <c r="N77" s="192">
        <f t="shared" si="6"/>
        <v>15005.49</v>
      </c>
      <c r="O77" s="193">
        <f t="shared" si="7"/>
        <v>15005.49</v>
      </c>
      <c r="P77" s="138" t="s">
        <v>73</v>
      </c>
      <c r="Q77" s="138">
        <v>1</v>
      </c>
      <c r="R77" s="138" t="s">
        <v>169</v>
      </c>
      <c r="S77" s="94" t="s">
        <v>150</v>
      </c>
      <c r="T77" s="137" t="s">
        <v>67</v>
      </c>
      <c r="V77" s="83" t="str">
        <f t="shared" si="8"/>
        <v>3070201CCLRSCHOLZ-ASB1%15005.49TEMPORARY CONSTRUCTION SERVICES</v>
      </c>
      <c r="W77" s="83"/>
    </row>
    <row r="78" spans="1:23" x14ac:dyDescent="0.25">
      <c r="A78" s="85" t="s">
        <v>78</v>
      </c>
      <c r="B78" s="86" t="s">
        <v>158</v>
      </c>
      <c r="C78" s="86" t="s">
        <v>70</v>
      </c>
      <c r="D78" s="85" t="s">
        <v>71</v>
      </c>
      <c r="E78" s="85" t="s">
        <v>192</v>
      </c>
      <c r="F78" s="87">
        <v>2</v>
      </c>
      <c r="G78" s="85" t="s">
        <v>14</v>
      </c>
      <c r="H78" s="106">
        <f>SUMIFS($I$3:$I$95,$E$3:$E$95,$E78,$U$3:$U$95,"MARKUP",$S$3:$S$95,"REMOVAL")*0.01</f>
        <v>1680</v>
      </c>
      <c r="I78" s="89">
        <f>F78*H78</f>
        <v>3360</v>
      </c>
      <c r="J78" s="107" t="s">
        <v>79</v>
      </c>
      <c r="K78" s="85" t="s">
        <v>64</v>
      </c>
      <c r="L78" s="85" t="s">
        <v>64</v>
      </c>
      <c r="M78" s="85" t="s">
        <v>79</v>
      </c>
      <c r="N78" s="192">
        <f t="shared" si="6"/>
        <v>1680</v>
      </c>
      <c r="O78" s="193">
        <f t="shared" si="7"/>
        <v>3360</v>
      </c>
      <c r="P78" s="138" t="s">
        <v>66</v>
      </c>
      <c r="Q78" s="138">
        <v>1</v>
      </c>
      <c r="R78" s="138" t="s">
        <v>169</v>
      </c>
      <c r="S78" s="94" t="s">
        <v>150</v>
      </c>
      <c r="T78" s="137" t="s">
        <v>67</v>
      </c>
      <c r="V78" s="83" t="str">
        <f t="shared" si="8"/>
        <v>3070201CCLRSCHOLZ-ECO2%1680TEMPORARY CONSTRUCTION SERVICES</v>
      </c>
      <c r="W78" s="83"/>
    </row>
    <row r="79" spans="1:23" x14ac:dyDescent="0.25">
      <c r="A79" s="85" t="s">
        <v>111</v>
      </c>
      <c r="B79" s="86" t="s">
        <v>155</v>
      </c>
      <c r="C79" s="86">
        <v>1</v>
      </c>
      <c r="D79" s="85" t="s">
        <v>107</v>
      </c>
      <c r="E79" s="85" t="s">
        <v>191</v>
      </c>
      <c r="F79" s="90">
        <f>'Scholz Data'!$D$25/2</f>
        <v>143.60098500000001</v>
      </c>
      <c r="G79" s="85" t="s">
        <v>34</v>
      </c>
      <c r="H79" s="89">
        <f>'Scholz Data'!$E$25</f>
        <v>66.325999999999993</v>
      </c>
      <c r="I79" s="194">
        <f>'Scholz Data'!$F$25/2</f>
        <v>9334.0640249999997</v>
      </c>
      <c r="J79" s="85" t="s">
        <v>42</v>
      </c>
      <c r="K79" s="85" t="s">
        <v>64</v>
      </c>
      <c r="L79" s="85" t="s">
        <v>64</v>
      </c>
      <c r="M79" s="85" t="s">
        <v>42</v>
      </c>
      <c r="N79" s="192">
        <f t="shared" si="6"/>
        <v>66.325999999999993</v>
      </c>
      <c r="O79" s="193">
        <f t="shared" si="7"/>
        <v>9334.0640249999997</v>
      </c>
      <c r="P79" s="138" t="s">
        <v>72</v>
      </c>
      <c r="Q79" s="138">
        <v>1</v>
      </c>
      <c r="R79" s="138" t="s">
        <v>169</v>
      </c>
      <c r="S79" s="94" t="s">
        <v>153</v>
      </c>
      <c r="T79" s="137" t="s">
        <v>83</v>
      </c>
      <c r="U79" s="137" t="s">
        <v>101</v>
      </c>
      <c r="V79" s="83" t="str">
        <f t="shared" si="8"/>
        <v>311UND11LDSCHOLZ-NON143.600985nt66.326Transport &amp;  Dispose of Combustibles</v>
      </c>
      <c r="W79" s="83"/>
    </row>
    <row r="80" spans="1:23" x14ac:dyDescent="0.25">
      <c r="A80" s="85" t="s">
        <v>111</v>
      </c>
      <c r="B80" s="86" t="s">
        <v>155</v>
      </c>
      <c r="C80" s="86">
        <v>2</v>
      </c>
      <c r="D80" s="85" t="s">
        <v>109</v>
      </c>
      <c r="E80" s="85" t="s">
        <v>191</v>
      </c>
      <c r="F80" s="90">
        <f>'Scholz Data'!$D$25/2</f>
        <v>143.60098500000001</v>
      </c>
      <c r="G80" s="85" t="s">
        <v>34</v>
      </c>
      <c r="H80" s="89">
        <f>'Scholz Data'!$E$25</f>
        <v>66.325999999999993</v>
      </c>
      <c r="I80" s="194">
        <f>'Scholz Data'!$F$25/2</f>
        <v>9334.0640249999997</v>
      </c>
      <c r="J80" s="85" t="s">
        <v>42</v>
      </c>
      <c r="K80" s="85" t="s">
        <v>64</v>
      </c>
      <c r="L80" s="85" t="s">
        <v>64</v>
      </c>
      <c r="M80" s="85" t="s">
        <v>42</v>
      </c>
      <c r="N80" s="192">
        <f t="shared" si="6"/>
        <v>66.325999999999993</v>
      </c>
      <c r="O80" s="193">
        <f t="shared" si="7"/>
        <v>9334.0640249999997</v>
      </c>
      <c r="P80" s="138" t="s">
        <v>72</v>
      </c>
      <c r="Q80" s="138">
        <v>1</v>
      </c>
      <c r="R80" s="138" t="s">
        <v>169</v>
      </c>
      <c r="S80" s="94" t="s">
        <v>153</v>
      </c>
      <c r="T80" s="137" t="s">
        <v>83</v>
      </c>
      <c r="U80" s="137" t="s">
        <v>101</v>
      </c>
      <c r="V80" s="83" t="str">
        <f t="shared" si="8"/>
        <v>311UND22LDSCHOLZ-NON143.600985nt66.326Transport &amp;  Dispose of Combustibles</v>
      </c>
      <c r="W80" s="83"/>
    </row>
    <row r="81" spans="1:23" x14ac:dyDescent="0.25">
      <c r="A81" s="85" t="s">
        <v>145</v>
      </c>
      <c r="B81" s="86" t="s">
        <v>160</v>
      </c>
      <c r="C81" s="86" t="s">
        <v>70</v>
      </c>
      <c r="D81" s="85" t="s">
        <v>110</v>
      </c>
      <c r="E81" s="85" t="s">
        <v>191</v>
      </c>
      <c r="F81" s="90">
        <f>'Scholz Data'!$D$40</f>
        <v>23</v>
      </c>
      <c r="G81" s="85" t="s">
        <v>34</v>
      </c>
      <c r="H81" s="89">
        <f>'Scholz Data'!$E$40</f>
        <v>66.325999999999993</v>
      </c>
      <c r="I81" s="194">
        <f>'Scholz Data'!$F$40</f>
        <v>1495</v>
      </c>
      <c r="J81" s="85" t="s">
        <v>42</v>
      </c>
      <c r="K81" s="85" t="s">
        <v>64</v>
      </c>
      <c r="L81" s="85" t="s">
        <v>64</v>
      </c>
      <c r="M81" s="85" t="s">
        <v>42</v>
      </c>
      <c r="N81" s="192">
        <f t="shared" si="6"/>
        <v>66.325999999999993</v>
      </c>
      <c r="O81" s="193">
        <f t="shared" si="7"/>
        <v>1495</v>
      </c>
      <c r="P81" s="138" t="s">
        <v>72</v>
      </c>
      <c r="Q81" s="138">
        <v>1</v>
      </c>
      <c r="R81" s="138" t="s">
        <v>169</v>
      </c>
      <c r="S81" s="94" t="s">
        <v>153</v>
      </c>
      <c r="T81" s="137" t="s">
        <v>83</v>
      </c>
      <c r="U81" s="137" t="s">
        <v>101</v>
      </c>
      <c r="V81" s="83" t="str">
        <f t="shared" si="8"/>
        <v>341UNDCCLDSCHOLZ-NON23nt66.326Transport &amp;  Dispose of Combustibles</v>
      </c>
      <c r="W81" s="83"/>
    </row>
    <row r="82" spans="1:23" x14ac:dyDescent="0.25">
      <c r="A82" s="85" t="s">
        <v>139</v>
      </c>
      <c r="B82" s="86" t="s">
        <v>163</v>
      </c>
      <c r="C82" s="86">
        <v>1</v>
      </c>
      <c r="D82" s="85" t="s">
        <v>120</v>
      </c>
      <c r="E82" s="85" t="s">
        <v>191</v>
      </c>
      <c r="F82" s="90">
        <f>'Scholz Data'!$D$29/2</f>
        <v>88045.767696801297</v>
      </c>
      <c r="G82" s="85" t="s">
        <v>37</v>
      </c>
      <c r="H82" s="89">
        <f>'Scholz Data'!$E$29</f>
        <v>-0.31414430979039298</v>
      </c>
      <c r="I82" s="194">
        <f>'Scholz Data'!$F$29/2</f>
        <v>-27659.076923076922</v>
      </c>
      <c r="J82" s="85" t="s">
        <v>140</v>
      </c>
      <c r="K82" s="85" t="s">
        <v>131</v>
      </c>
      <c r="L82" s="85" t="s">
        <v>141</v>
      </c>
      <c r="M82" s="85" t="s">
        <v>235</v>
      </c>
      <c r="N82" s="192">
        <f t="shared" si="6"/>
        <v>-0.31414430979039298</v>
      </c>
      <c r="O82" s="193">
        <f t="shared" si="7"/>
        <v>-27659.076923076922</v>
      </c>
      <c r="P82" s="138" t="s">
        <v>72</v>
      </c>
      <c r="Q82" s="138">
        <v>1</v>
      </c>
      <c r="R82" s="138" t="s">
        <v>169</v>
      </c>
      <c r="S82" s="94" t="s">
        <v>152</v>
      </c>
      <c r="T82" s="137" t="s">
        <v>83</v>
      </c>
      <c r="U82" s="137" t="s">
        <v>101</v>
      </c>
      <c r="V82" s="83" t="str">
        <f t="shared" si="8"/>
        <v>315UND11MSSCHOLZ-NON88045.7676968013lbs-0.314144309790393Unit &amp; Service Transformers - CU Sales</v>
      </c>
      <c r="W82" s="83"/>
    </row>
    <row r="83" spans="1:23" x14ac:dyDescent="0.25">
      <c r="A83" s="85" t="s">
        <v>139</v>
      </c>
      <c r="B83" s="86" t="s">
        <v>163</v>
      </c>
      <c r="C83" s="86">
        <v>2</v>
      </c>
      <c r="D83" s="85" t="s">
        <v>122</v>
      </c>
      <c r="E83" s="85" t="s">
        <v>191</v>
      </c>
      <c r="F83" s="90">
        <f>'Scholz Data'!$D$29/2</f>
        <v>88045.767696801297</v>
      </c>
      <c r="G83" s="85" t="s">
        <v>37</v>
      </c>
      <c r="H83" s="89">
        <f>'Scholz Data'!$E$29</f>
        <v>-0.31414430979039298</v>
      </c>
      <c r="I83" s="194">
        <f>'Scholz Data'!$F$29/2</f>
        <v>-27659.076923076922</v>
      </c>
      <c r="J83" s="85" t="s">
        <v>140</v>
      </c>
      <c r="K83" s="85" t="s">
        <v>131</v>
      </c>
      <c r="L83" s="85" t="s">
        <v>141</v>
      </c>
      <c r="M83" s="85" t="s">
        <v>235</v>
      </c>
      <c r="N83" s="192">
        <f t="shared" si="6"/>
        <v>-0.31414430979039298</v>
      </c>
      <c r="O83" s="193">
        <f t="shared" si="7"/>
        <v>-27659.076923076922</v>
      </c>
      <c r="P83" s="138" t="s">
        <v>72</v>
      </c>
      <c r="Q83" s="138">
        <v>1</v>
      </c>
      <c r="R83" s="138" t="s">
        <v>169</v>
      </c>
      <c r="S83" s="94" t="s">
        <v>152</v>
      </c>
      <c r="T83" s="137" t="s">
        <v>83</v>
      </c>
      <c r="U83" s="137" t="s">
        <v>101</v>
      </c>
      <c r="V83" s="83" t="str">
        <f t="shared" si="8"/>
        <v>315UND22MSSCHOLZ-NON88045.7676968013lbs-0.314144309790393Unit &amp; Service Transformers - CU Sales</v>
      </c>
      <c r="W83" s="83"/>
    </row>
    <row r="84" spans="1:23" x14ac:dyDescent="0.25">
      <c r="A84" s="85" t="s">
        <v>139</v>
      </c>
      <c r="B84" s="86" t="s">
        <v>163</v>
      </c>
      <c r="C84" s="86">
        <v>1</v>
      </c>
      <c r="D84" s="85" t="s">
        <v>68</v>
      </c>
      <c r="E84" s="85" t="s">
        <v>191</v>
      </c>
      <c r="F84" s="90">
        <f>'Scholz Data'!$D$28/2</f>
        <v>60</v>
      </c>
      <c r="G84" s="85" t="s">
        <v>34</v>
      </c>
      <c r="H84" s="89">
        <f>'Scholz Data'!$E$28</f>
        <v>244.89599999999999</v>
      </c>
      <c r="I84" s="194">
        <f>'Scholz Data'!$F$28/2</f>
        <v>14693.759999999998</v>
      </c>
      <c r="J84" s="85" t="s">
        <v>142</v>
      </c>
      <c r="K84" s="85" t="s">
        <v>64</v>
      </c>
      <c r="L84" s="85" t="s">
        <v>141</v>
      </c>
      <c r="M84" s="85" t="s">
        <v>143</v>
      </c>
      <c r="N84" s="192">
        <f t="shared" si="6"/>
        <v>244.89599999999999</v>
      </c>
      <c r="O84" s="193">
        <f t="shared" si="7"/>
        <v>14693.759999999998</v>
      </c>
      <c r="P84" s="138" t="s">
        <v>72</v>
      </c>
      <c r="Q84" s="138">
        <v>1</v>
      </c>
      <c r="R84" s="138" t="s">
        <v>169</v>
      </c>
      <c r="S84" s="94" t="s">
        <v>150</v>
      </c>
      <c r="T84" s="137" t="s">
        <v>83</v>
      </c>
      <c r="U84" s="137" t="s">
        <v>101</v>
      </c>
      <c r="V84" s="83" t="str">
        <f t="shared" si="8"/>
        <v>315UND11LRSCHOLZ-NON60nt244.896Unit &amp; Service Transformers - Demo</v>
      </c>
      <c r="W84" s="83"/>
    </row>
    <row r="85" spans="1:23" x14ac:dyDescent="0.25">
      <c r="A85" s="85" t="s">
        <v>139</v>
      </c>
      <c r="B85" s="86" t="s">
        <v>163</v>
      </c>
      <c r="C85" s="86">
        <v>2</v>
      </c>
      <c r="D85" s="85" t="s">
        <v>69</v>
      </c>
      <c r="E85" s="85" t="s">
        <v>191</v>
      </c>
      <c r="F85" s="90">
        <f>'Scholz Data'!$D$28/2</f>
        <v>60</v>
      </c>
      <c r="G85" s="85" t="s">
        <v>34</v>
      </c>
      <c r="H85" s="89">
        <f>'Scholz Data'!$E$28</f>
        <v>244.89599999999999</v>
      </c>
      <c r="I85" s="194">
        <f>'Scholz Data'!$F$28/2</f>
        <v>14693.759999999998</v>
      </c>
      <c r="J85" s="85" t="s">
        <v>142</v>
      </c>
      <c r="K85" s="85" t="s">
        <v>64</v>
      </c>
      <c r="L85" s="85" t="s">
        <v>141</v>
      </c>
      <c r="M85" s="85" t="s">
        <v>143</v>
      </c>
      <c r="N85" s="192">
        <f t="shared" si="6"/>
        <v>244.89599999999999</v>
      </c>
      <c r="O85" s="193">
        <f t="shared" si="7"/>
        <v>14693.759999999998</v>
      </c>
      <c r="P85" s="138" t="s">
        <v>72</v>
      </c>
      <c r="Q85" s="138">
        <v>1</v>
      </c>
      <c r="R85" s="138" t="s">
        <v>169</v>
      </c>
      <c r="S85" s="94" t="s">
        <v>150</v>
      </c>
      <c r="T85" s="137" t="s">
        <v>83</v>
      </c>
      <c r="U85" s="137" t="s">
        <v>101</v>
      </c>
      <c r="V85" s="83" t="str">
        <f t="shared" si="8"/>
        <v>315UND22LRSCHOLZ-NON60nt244.896Unit &amp; Service Transformers - Demo</v>
      </c>
      <c r="W85" s="83"/>
    </row>
    <row r="86" spans="1:23" x14ac:dyDescent="0.25">
      <c r="A86" s="85" t="s">
        <v>139</v>
      </c>
      <c r="B86" s="86" t="s">
        <v>163</v>
      </c>
      <c r="C86" s="86">
        <v>1</v>
      </c>
      <c r="D86" s="85" t="s">
        <v>120</v>
      </c>
      <c r="E86" s="85" t="s">
        <v>191</v>
      </c>
      <c r="F86" s="90">
        <f>'Scholz Data'!$D$30/2</f>
        <v>60</v>
      </c>
      <c r="G86" s="85" t="s">
        <v>34</v>
      </c>
      <c r="H86" s="89">
        <f>'Scholz Data'!$E$30</f>
        <v>-108.3695731319762</v>
      </c>
      <c r="I86" s="194">
        <f>'Scholz Data'!$F$30/2</f>
        <v>-6502.1743879185715</v>
      </c>
      <c r="J86" s="85" t="s">
        <v>144</v>
      </c>
      <c r="K86" s="85" t="s">
        <v>116</v>
      </c>
      <c r="L86" s="85" t="s">
        <v>141</v>
      </c>
      <c r="M86" s="85" t="s">
        <v>235</v>
      </c>
      <c r="N86" s="192">
        <f t="shared" si="6"/>
        <v>-108.3695731319762</v>
      </c>
      <c r="O86" s="193">
        <f t="shared" si="7"/>
        <v>-6502.1743879185715</v>
      </c>
      <c r="P86" s="138" t="s">
        <v>72</v>
      </c>
      <c r="Q86" s="138">
        <v>1</v>
      </c>
      <c r="R86" s="138" t="s">
        <v>169</v>
      </c>
      <c r="S86" s="94" t="s">
        <v>152</v>
      </c>
      <c r="T86" s="137" t="s">
        <v>83</v>
      </c>
      <c r="U86" s="137" t="s">
        <v>101</v>
      </c>
      <c r="V86" s="83" t="str">
        <f t="shared" si="8"/>
        <v>315UND11MSSCHOLZ-NON60nt-108.369573131976Unit &amp; Service Transformers - FE Sales</v>
      </c>
      <c r="W86" s="83"/>
    </row>
    <row r="87" spans="1:23" x14ac:dyDescent="0.25">
      <c r="A87" s="85" t="s">
        <v>139</v>
      </c>
      <c r="B87" s="86" t="s">
        <v>163</v>
      </c>
      <c r="C87" s="86">
        <v>2</v>
      </c>
      <c r="D87" s="85" t="s">
        <v>122</v>
      </c>
      <c r="E87" s="85" t="s">
        <v>191</v>
      </c>
      <c r="F87" s="90">
        <f>'Scholz Data'!$D$30/2</f>
        <v>60</v>
      </c>
      <c r="G87" s="85" t="s">
        <v>34</v>
      </c>
      <c r="H87" s="89">
        <f>'Scholz Data'!$E$30</f>
        <v>-108.3695731319762</v>
      </c>
      <c r="I87" s="194">
        <f>'Scholz Data'!$F$30/2</f>
        <v>-6502.1743879185715</v>
      </c>
      <c r="J87" s="85" t="s">
        <v>144</v>
      </c>
      <c r="K87" s="85" t="s">
        <v>116</v>
      </c>
      <c r="L87" s="85" t="s">
        <v>141</v>
      </c>
      <c r="M87" s="85" t="s">
        <v>235</v>
      </c>
      <c r="N87" s="192">
        <f t="shared" si="6"/>
        <v>-108.3695731319762</v>
      </c>
      <c r="O87" s="193">
        <f t="shared" si="7"/>
        <v>-6502.1743879185715</v>
      </c>
      <c r="P87" s="138" t="s">
        <v>72</v>
      </c>
      <c r="Q87" s="138">
        <v>1</v>
      </c>
      <c r="R87" s="138" t="s">
        <v>169</v>
      </c>
      <c r="S87" s="94" t="s">
        <v>152</v>
      </c>
      <c r="T87" s="137" t="s">
        <v>83</v>
      </c>
      <c r="U87" s="137" t="s">
        <v>101</v>
      </c>
      <c r="V87" s="83" t="str">
        <f t="shared" si="8"/>
        <v>315UND22MSSCHOLZ-NON60nt-108.369573131976Unit &amp; Service Transformers - FE Sales</v>
      </c>
      <c r="W87" s="83"/>
    </row>
    <row r="88" spans="1:23" x14ac:dyDescent="0.25">
      <c r="A88" s="85" t="s">
        <v>146</v>
      </c>
      <c r="B88" s="86" t="s">
        <v>159</v>
      </c>
      <c r="C88" s="86">
        <v>1</v>
      </c>
      <c r="D88" s="85" t="s">
        <v>107</v>
      </c>
      <c r="E88" s="85" t="s">
        <v>191</v>
      </c>
      <c r="F88" s="90">
        <f>'Scholz Data'!$D$46/2</f>
        <v>5308.3758003397361</v>
      </c>
      <c r="G88" s="85" t="s">
        <v>34</v>
      </c>
      <c r="H88" s="89">
        <f>'Scholz Data'!$E$46</f>
        <v>6.1223999999999998</v>
      </c>
      <c r="I88" s="194">
        <f>'Scholz Data'!$F$46/2</f>
        <v>32500</v>
      </c>
      <c r="J88" s="85" t="s">
        <v>50</v>
      </c>
      <c r="K88" s="85" t="s">
        <v>64</v>
      </c>
      <c r="L88" s="85" t="s">
        <v>64</v>
      </c>
      <c r="M88" s="85" t="s">
        <v>50</v>
      </c>
      <c r="N88" s="192">
        <f t="shared" si="6"/>
        <v>6.1223999999999998</v>
      </c>
      <c r="O88" s="193">
        <f t="shared" si="7"/>
        <v>32500</v>
      </c>
      <c r="P88" s="138" t="s">
        <v>72</v>
      </c>
      <c r="Q88" s="138">
        <v>1</v>
      </c>
      <c r="R88" s="138" t="s">
        <v>169</v>
      </c>
      <c r="S88" s="94" t="s">
        <v>153</v>
      </c>
      <c r="T88" s="137" t="s">
        <v>83</v>
      </c>
      <c r="U88" s="137" t="s">
        <v>101</v>
      </c>
      <c r="V88" s="83" t="str">
        <f>A88&amp;B88&amp;C88&amp;D88&amp;E88&amp;G88&amp;J88</f>
        <v>3430000FM34311LDSCHOLZ-NONntUniversal Wastes, Grease &amp; Oil Removal</v>
      </c>
      <c r="W88" s="83"/>
    </row>
    <row r="89" spans="1:23" x14ac:dyDescent="0.25">
      <c r="A89" s="85" t="s">
        <v>146</v>
      </c>
      <c r="B89" s="86" t="s">
        <v>159</v>
      </c>
      <c r="C89" s="86">
        <v>2</v>
      </c>
      <c r="D89" s="85" t="s">
        <v>109</v>
      </c>
      <c r="E89" s="85" t="s">
        <v>191</v>
      </c>
      <c r="F89" s="90">
        <f>'Scholz Data'!$D$46/2</f>
        <v>5308.3758003397361</v>
      </c>
      <c r="G89" s="85" t="s">
        <v>34</v>
      </c>
      <c r="H89" s="89">
        <f>[1]Daniel!$E$56</f>
        <v>6</v>
      </c>
      <c r="I89" s="194">
        <f>'Scholz Data'!$F$46/2</f>
        <v>32500</v>
      </c>
      <c r="J89" s="85" t="s">
        <v>50</v>
      </c>
      <c r="K89" s="85" t="s">
        <v>64</v>
      </c>
      <c r="L89" s="85" t="s">
        <v>64</v>
      </c>
      <c r="M89" s="85" t="s">
        <v>50</v>
      </c>
      <c r="N89" s="192">
        <f t="shared" si="6"/>
        <v>6</v>
      </c>
      <c r="O89" s="193">
        <f t="shared" si="7"/>
        <v>32500</v>
      </c>
      <c r="P89" s="138" t="s">
        <v>72</v>
      </c>
      <c r="Q89" s="138">
        <v>1</v>
      </c>
      <c r="R89" s="138" t="s">
        <v>169</v>
      </c>
      <c r="S89" s="94" t="s">
        <v>153</v>
      </c>
      <c r="T89" s="137" t="s">
        <v>83</v>
      </c>
      <c r="U89" s="137" t="s">
        <v>101</v>
      </c>
      <c r="V89" s="83" t="str">
        <f>A89&amp;B89&amp;C89&amp;D89&amp;E89&amp;G89&amp;J89</f>
        <v>3430000FM34322LDSCHOLZ-NONntUniversal Wastes, Grease &amp; Oil Removal</v>
      </c>
      <c r="W89" s="83"/>
    </row>
    <row r="90" spans="1:23" s="76" customFormat="1" x14ac:dyDescent="0.25">
      <c r="A90" s="85" t="s">
        <v>146</v>
      </c>
      <c r="B90" s="86" t="s">
        <v>159</v>
      </c>
      <c r="C90" s="86">
        <v>1</v>
      </c>
      <c r="D90" s="85" t="s">
        <v>107</v>
      </c>
      <c r="E90" s="85" t="s">
        <v>191</v>
      </c>
      <c r="F90" s="90">
        <f>'Scholz Data'!$D$47/2*0.2</f>
        <v>248.9</v>
      </c>
      <c r="G90" s="85" t="s">
        <v>34</v>
      </c>
      <c r="H90" s="89">
        <f>'Scholz Data'!$E$47</f>
        <v>66.325999999999993</v>
      </c>
      <c r="I90" s="89"/>
      <c r="J90" s="85" t="s">
        <v>50</v>
      </c>
      <c r="K90" s="85" t="s">
        <v>64</v>
      </c>
      <c r="L90" s="85" t="s">
        <v>64</v>
      </c>
      <c r="M90" s="85" t="s">
        <v>50</v>
      </c>
      <c r="N90" s="192">
        <f t="shared" si="6"/>
        <v>66.325999999999993</v>
      </c>
      <c r="O90" s="193">
        <f t="shared" si="7"/>
        <v>0</v>
      </c>
      <c r="P90" s="138" t="s">
        <v>72</v>
      </c>
      <c r="Q90" s="138">
        <v>1</v>
      </c>
      <c r="R90" s="138" t="s">
        <v>169</v>
      </c>
      <c r="S90" s="94" t="s">
        <v>153</v>
      </c>
      <c r="T90" s="137" t="s">
        <v>83</v>
      </c>
      <c r="U90" s="137" t="s">
        <v>101</v>
      </c>
      <c r="V90" s="83" t="str">
        <f t="shared" ref="V90:V95" si="9">A90&amp;C90&amp;D90&amp;E90&amp;F90&amp;G90&amp;H90&amp;J90</f>
        <v>3430000FM11LDSCHOLZ-NON248.9nt66.326Universal Wastes, Grease &amp; Oil Removal</v>
      </c>
      <c r="W90" s="83"/>
    </row>
    <row r="91" spans="1:23" s="76" customFormat="1" x14ac:dyDescent="0.25">
      <c r="A91" s="85" t="s">
        <v>146</v>
      </c>
      <c r="B91" s="86" t="s">
        <v>159</v>
      </c>
      <c r="C91" s="86">
        <v>2</v>
      </c>
      <c r="D91" s="85" t="s">
        <v>109</v>
      </c>
      <c r="E91" s="85" t="s">
        <v>191</v>
      </c>
      <c r="F91" s="90">
        <f>'Scholz Data'!$D$47/2*0.2</f>
        <v>248.9</v>
      </c>
      <c r="G91" s="85" t="s">
        <v>34</v>
      </c>
      <c r="H91" s="89">
        <f>'Scholz Data'!$E$47</f>
        <v>66.325999999999993</v>
      </c>
      <c r="I91" s="89"/>
      <c r="J91" s="85" t="s">
        <v>50</v>
      </c>
      <c r="K91" s="85" t="s">
        <v>64</v>
      </c>
      <c r="L91" s="85" t="s">
        <v>64</v>
      </c>
      <c r="M91" s="85" t="s">
        <v>50</v>
      </c>
      <c r="N91" s="192">
        <f t="shared" si="6"/>
        <v>66.325999999999993</v>
      </c>
      <c r="O91" s="193">
        <f t="shared" si="7"/>
        <v>0</v>
      </c>
      <c r="P91" s="138" t="s">
        <v>72</v>
      </c>
      <c r="Q91" s="138">
        <v>1</v>
      </c>
      <c r="R91" s="138" t="s">
        <v>169</v>
      </c>
      <c r="S91" s="94" t="s">
        <v>153</v>
      </c>
      <c r="T91" s="137" t="s">
        <v>83</v>
      </c>
      <c r="U91" s="137" t="s">
        <v>101</v>
      </c>
      <c r="V91" s="83" t="str">
        <f t="shared" si="9"/>
        <v>3430000FM22LDSCHOLZ-NON248.9nt66.326Universal Wastes, Grease &amp; Oil Removal</v>
      </c>
      <c r="W91" s="83"/>
    </row>
    <row r="92" spans="1:23" s="76" customFormat="1" x14ac:dyDescent="0.25">
      <c r="A92" s="85" t="s">
        <v>111</v>
      </c>
      <c r="B92" s="86" t="s">
        <v>155</v>
      </c>
      <c r="C92" s="86" t="s">
        <v>70</v>
      </c>
      <c r="D92" s="85" t="s">
        <v>71</v>
      </c>
      <c r="E92" s="85" t="s">
        <v>191</v>
      </c>
      <c r="F92" s="90">
        <f>'Scholz Data'!$D$12</f>
        <v>1</v>
      </c>
      <c r="G92" s="85" t="s">
        <v>21</v>
      </c>
      <c r="H92" s="89">
        <f>'Scholz Data'!$E$12</f>
        <v>100000</v>
      </c>
      <c r="I92" s="194">
        <f>'Scholz Data'!$F$12</f>
        <v>0</v>
      </c>
      <c r="J92" s="85" t="s">
        <v>28</v>
      </c>
      <c r="K92" s="85" t="s">
        <v>64</v>
      </c>
      <c r="L92" s="85" t="s">
        <v>64</v>
      </c>
      <c r="M92" s="85" t="s">
        <v>28</v>
      </c>
      <c r="N92" s="192">
        <f t="shared" si="6"/>
        <v>100000</v>
      </c>
      <c r="O92" s="193">
        <f t="shared" si="7"/>
        <v>0</v>
      </c>
      <c r="P92" s="138" t="s">
        <v>72</v>
      </c>
      <c r="Q92" s="138">
        <v>1</v>
      </c>
      <c r="R92" s="138" t="s">
        <v>169</v>
      </c>
      <c r="S92" s="94" t="s">
        <v>150</v>
      </c>
      <c r="T92" s="137" t="s">
        <v>83</v>
      </c>
      <c r="U92" s="137" t="s">
        <v>101</v>
      </c>
      <c r="V92" s="83" t="str">
        <f t="shared" si="9"/>
        <v>311UNDCCLRSCHOLZ-NON1ls100000Utility Disconnects</v>
      </c>
      <c r="W92" s="83"/>
    </row>
    <row r="93" spans="1:23" s="76" customFormat="1" x14ac:dyDescent="0.25">
      <c r="A93" s="85" t="s">
        <v>96</v>
      </c>
      <c r="B93" s="86" t="s">
        <v>156</v>
      </c>
      <c r="C93" s="86" t="s">
        <v>70</v>
      </c>
      <c r="D93" s="85" t="s">
        <v>71</v>
      </c>
      <c r="E93" s="85" t="s">
        <v>194</v>
      </c>
      <c r="F93" s="87">
        <v>0.6</v>
      </c>
      <c r="G93" s="85" t="s">
        <v>14</v>
      </c>
      <c r="H93" s="106">
        <f>SUMIFS($I$3:$I$95,$E$3:$E$95,$E93,$U$3:$U$95,"MARKUP",$S$3:$S$95,"REMOVAL")*0.01</f>
        <v>15005.49</v>
      </c>
      <c r="I93" s="89">
        <f>F93*H93</f>
        <v>9003.2939999999999</v>
      </c>
      <c r="J93" s="107" t="s">
        <v>97</v>
      </c>
      <c r="K93" s="85" t="s">
        <v>64</v>
      </c>
      <c r="L93" s="85" t="s">
        <v>64</v>
      </c>
      <c r="M93" s="85" t="s">
        <v>97</v>
      </c>
      <c r="N93" s="192">
        <f t="shared" si="6"/>
        <v>15005.49</v>
      </c>
      <c r="O93" s="193">
        <f t="shared" si="7"/>
        <v>9003.2939999999999</v>
      </c>
      <c r="P93" s="138" t="s">
        <v>73</v>
      </c>
      <c r="Q93" s="138">
        <v>1</v>
      </c>
      <c r="R93" s="138" t="s">
        <v>169</v>
      </c>
      <c r="S93" s="94" t="s">
        <v>150</v>
      </c>
      <c r="T93" s="137" t="s">
        <v>67</v>
      </c>
      <c r="U93" s="137"/>
      <c r="V93" s="83" t="str">
        <f t="shared" si="9"/>
        <v>3080361CCLRSCHOLZ-ASB0.6%15005.49WRAP-UP AND ALL-RISK INSURANCE</v>
      </c>
      <c r="W93" s="83"/>
    </row>
    <row r="94" spans="1:23" x14ac:dyDescent="0.25">
      <c r="A94" s="85" t="s">
        <v>96</v>
      </c>
      <c r="B94" s="86" t="s">
        <v>156</v>
      </c>
      <c r="C94" s="86" t="s">
        <v>70</v>
      </c>
      <c r="D94" s="85" t="s">
        <v>71</v>
      </c>
      <c r="E94" s="85" t="s">
        <v>192</v>
      </c>
      <c r="F94" s="87">
        <v>0.6</v>
      </c>
      <c r="G94" s="85" t="s">
        <v>14</v>
      </c>
      <c r="H94" s="106">
        <f>SUMIFS($I$3:$I$95,$E$3:$E$95,$E94,$U$3:$U$95,"MARKUP",$S$3:$S$95,"REMOVAL")*0.01</f>
        <v>1680</v>
      </c>
      <c r="I94" s="89">
        <f>F94*H94</f>
        <v>1008</v>
      </c>
      <c r="J94" s="107" t="s">
        <v>97</v>
      </c>
      <c r="K94" s="85" t="s">
        <v>64</v>
      </c>
      <c r="L94" s="85" t="s">
        <v>64</v>
      </c>
      <c r="M94" s="85" t="s">
        <v>97</v>
      </c>
      <c r="N94" s="192">
        <f t="shared" si="6"/>
        <v>1680</v>
      </c>
      <c r="O94" s="193">
        <f t="shared" si="7"/>
        <v>1008</v>
      </c>
      <c r="P94" s="138" t="s">
        <v>66</v>
      </c>
      <c r="Q94" s="138">
        <v>1</v>
      </c>
      <c r="R94" s="138" t="s">
        <v>169</v>
      </c>
      <c r="S94" s="94" t="s">
        <v>150</v>
      </c>
      <c r="T94" s="137" t="s">
        <v>67</v>
      </c>
      <c r="V94" s="83" t="str">
        <f t="shared" si="9"/>
        <v>3080361CCLRSCHOLZ-ECO0.6%1680WRAP-UP AND ALL-RISK INSURANCE</v>
      </c>
      <c r="W94" s="83"/>
    </row>
    <row r="95" spans="1:23" x14ac:dyDescent="0.25">
      <c r="A95" s="85" t="s">
        <v>96</v>
      </c>
      <c r="B95" s="86" t="s">
        <v>156</v>
      </c>
      <c r="C95" s="86" t="s">
        <v>70</v>
      </c>
      <c r="D95" s="85" t="s">
        <v>71</v>
      </c>
      <c r="E95" s="85" t="s">
        <v>191</v>
      </c>
      <c r="F95" s="87">
        <v>0.6</v>
      </c>
      <c r="G95" s="85" t="s">
        <v>14</v>
      </c>
      <c r="H95" s="106">
        <f>SUMIFS($I$3:$I$95,$E$3:$E$95,$E95,$U$3:$U$95,"MARKUP",$S$3:$S$95,"REMOVAL")*0.01</f>
        <v>26318.009428906662</v>
      </c>
      <c r="I95" s="89">
        <f>F95*H95</f>
        <v>15790.805657343997</v>
      </c>
      <c r="J95" s="107" t="s">
        <v>97</v>
      </c>
      <c r="K95" s="85" t="s">
        <v>64</v>
      </c>
      <c r="L95" s="85" t="s">
        <v>64</v>
      </c>
      <c r="M95" s="85" t="s">
        <v>97</v>
      </c>
      <c r="N95" s="192">
        <f t="shared" si="6"/>
        <v>26318.009428906662</v>
      </c>
      <c r="O95" s="193">
        <f t="shared" si="7"/>
        <v>15790.805657343997</v>
      </c>
      <c r="P95" s="138" t="s">
        <v>72</v>
      </c>
      <c r="Q95" s="138">
        <v>1</v>
      </c>
      <c r="R95" s="138" t="s">
        <v>169</v>
      </c>
      <c r="S95" s="94" t="s">
        <v>150</v>
      </c>
      <c r="T95" s="137" t="s">
        <v>67</v>
      </c>
      <c r="V95" s="83" t="str">
        <f t="shared" si="9"/>
        <v>3080361CCLRSCHOLZ-NON0.6%26318.0094289067WRAP-UP AND ALL-RISK INSURANCE</v>
      </c>
      <c r="W95" s="83"/>
    </row>
  </sheetData>
  <autoFilter ref="A2:AB95">
    <sortState ref="A3:AB95">
      <sortCondition ref="J2:J95"/>
    </sortState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N58"/>
  <sheetViews>
    <sheetView showZeros="0" zoomScale="85" zoomScaleNormal="85" zoomScaleSheetLayoutView="100" workbookViewId="0">
      <pane xSplit="2" ySplit="3" topLeftCell="C10" activePane="bottomRight" state="frozen"/>
      <selection activeCell="I2" sqref="I2:I3"/>
      <selection pane="topRight" activeCell="I2" sqref="I2:I3"/>
      <selection pane="bottomLeft" activeCell="I2" sqref="I2:I3"/>
      <selection pane="bottomRight" activeCell="D16" sqref="D16"/>
    </sheetView>
  </sheetViews>
  <sheetFormatPr defaultRowHeight="15" x14ac:dyDescent="0.25"/>
  <cols>
    <col min="1" max="1" width="8.5703125" style="1" customWidth="1"/>
    <col min="2" max="2" width="51.7109375" style="2" customWidth="1"/>
    <col min="3" max="3" width="4.85546875" style="62" bestFit="1" customWidth="1"/>
    <col min="4" max="4" width="10.140625" style="63" bestFit="1" customWidth="1"/>
    <col min="5" max="5" width="11.85546875" style="64" bestFit="1" customWidth="1"/>
    <col min="6" max="6" width="12.5703125" style="65" bestFit="1" customWidth="1"/>
    <col min="7" max="7" width="1.85546875" style="66" customWidth="1"/>
    <col min="8" max="8" width="5.5703125" style="67" bestFit="1" customWidth="1"/>
    <col min="9" max="9" width="9.28515625" style="62" bestFit="1" customWidth="1"/>
    <col min="10" max="10" width="7.7109375" style="68" bestFit="1" customWidth="1"/>
    <col min="11" max="11" width="10" style="6" customWidth="1"/>
    <col min="12" max="12" width="4.7109375" style="6" bestFit="1" customWidth="1"/>
    <col min="13" max="13" width="9.28515625" style="2" customWidth="1"/>
    <col min="14" max="14" width="2" style="66" customWidth="1"/>
    <col min="15" max="15" width="5.7109375" style="67" bestFit="1" customWidth="1"/>
    <col min="16" max="16" width="10.85546875" style="6" bestFit="1" customWidth="1"/>
    <col min="17" max="17" width="5.5703125" style="68" bestFit="1" customWidth="1"/>
    <col min="18" max="18" width="10.85546875" style="6" bestFit="1" customWidth="1"/>
    <col min="19" max="19" width="5.5703125" style="6" bestFit="1" customWidth="1"/>
    <col min="20" max="20" width="10.85546875" style="2" bestFit="1" customWidth="1"/>
    <col min="21" max="21" width="1.42578125" style="69" customWidth="1"/>
    <col min="22" max="22" width="5.5703125" style="67" bestFit="1" customWidth="1"/>
    <col min="23" max="23" width="12.5703125" style="6" bestFit="1" customWidth="1"/>
    <col min="24" max="24" width="5.7109375" style="68" bestFit="1" customWidth="1"/>
    <col min="25" max="25" width="11.5703125" style="6" bestFit="1" customWidth="1"/>
    <col min="26" max="26" width="5.5703125" style="6" bestFit="1" customWidth="1"/>
    <col min="27" max="27" width="11.5703125" style="2" bestFit="1" customWidth="1"/>
    <col min="28" max="28" width="1.28515625" style="69" customWidth="1"/>
    <col min="29" max="29" width="5.5703125" style="67" bestFit="1" customWidth="1"/>
    <col min="30" max="30" width="11.5703125" style="6" customWidth="1"/>
    <col min="31" max="31" width="5.7109375" style="68" bestFit="1" customWidth="1"/>
    <col min="32" max="32" width="11.5703125" style="6" bestFit="1" customWidth="1"/>
    <col min="33" max="33" width="5.7109375" style="6" bestFit="1" customWidth="1"/>
    <col min="34" max="34" width="11.5703125" style="2" bestFit="1" customWidth="1"/>
    <col min="35" max="35" width="1.7109375" style="69" customWidth="1"/>
    <col min="36" max="36" width="5.5703125" style="67" bestFit="1" customWidth="1"/>
    <col min="37" max="37" width="11.5703125" style="6" customWidth="1"/>
    <col min="38" max="38" width="5.5703125" style="68" bestFit="1" customWidth="1"/>
    <col min="39" max="39" width="11.5703125" style="6" bestFit="1" customWidth="1"/>
    <col min="40" max="40" width="5.5703125" style="6" bestFit="1" customWidth="1"/>
    <col min="41" max="41" width="11.5703125" style="2" bestFit="1" customWidth="1"/>
    <col min="42" max="42" width="1.28515625" style="69" customWidth="1"/>
    <col min="43" max="43" width="5.7109375" style="67" bestFit="1" customWidth="1"/>
    <col min="44" max="44" width="11.5703125" style="6" customWidth="1"/>
    <col min="45" max="45" width="5.5703125" style="68" bestFit="1" customWidth="1"/>
    <col min="46" max="46" width="11.5703125" style="6" bestFit="1" customWidth="1"/>
    <col min="47" max="47" width="5.5703125" style="6" bestFit="1" customWidth="1"/>
    <col min="48" max="48" width="11.5703125" style="2" bestFit="1" customWidth="1"/>
    <col min="49" max="49" width="2.42578125" style="69" customWidth="1"/>
    <col min="50" max="50" width="4.7109375" style="67" bestFit="1" customWidth="1"/>
    <col min="51" max="51" width="11.85546875" style="6" bestFit="1" customWidth="1"/>
    <col min="52" max="52" width="5.5703125" style="68" bestFit="1" customWidth="1"/>
    <col min="53" max="53" width="8.28515625" style="6" bestFit="1" customWidth="1"/>
    <col min="54" max="54" width="6.5703125" style="6" bestFit="1" customWidth="1"/>
    <col min="55" max="55" width="8.28515625" style="2" bestFit="1" customWidth="1"/>
    <col min="56" max="56" width="1.85546875" style="69" customWidth="1"/>
    <col min="57" max="57" width="5.5703125" style="67" bestFit="1" customWidth="1"/>
    <col min="58" max="58" width="11.5703125" style="6" customWidth="1"/>
    <col min="59" max="59" width="5.5703125" style="68" bestFit="1" customWidth="1"/>
    <col min="60" max="60" width="11.5703125" style="6" bestFit="1" customWidth="1"/>
    <col min="61" max="61" width="5.5703125" style="6" bestFit="1" customWidth="1"/>
    <col min="62" max="62" width="11.5703125" style="2" bestFit="1" customWidth="1"/>
    <col min="63" max="63" width="14.28515625" style="5" bestFit="1" customWidth="1"/>
    <col min="64" max="64" width="13.28515625" style="6" customWidth="1"/>
    <col min="65" max="65" width="10.7109375" style="6" bestFit="1" customWidth="1"/>
    <col min="66" max="16384" width="9.140625" style="2"/>
  </cols>
  <sheetData>
    <row r="1" spans="1:66" x14ac:dyDescent="0.25">
      <c r="C1" s="208" t="s">
        <v>0</v>
      </c>
      <c r="D1" s="209"/>
      <c r="E1" s="209"/>
      <c r="F1" s="209"/>
      <c r="G1" s="3"/>
      <c r="H1" s="202" t="s">
        <v>1</v>
      </c>
      <c r="I1" s="203"/>
      <c r="J1" s="203"/>
      <c r="K1" s="203"/>
      <c r="L1" s="203"/>
      <c r="M1" s="203"/>
      <c r="N1" s="3"/>
      <c r="O1" s="202" t="s">
        <v>2</v>
      </c>
      <c r="P1" s="203"/>
      <c r="Q1" s="203"/>
      <c r="R1" s="203"/>
      <c r="S1" s="203"/>
      <c r="T1" s="203"/>
      <c r="U1" s="4"/>
      <c r="V1" s="202" t="s">
        <v>3</v>
      </c>
      <c r="W1" s="203"/>
      <c r="X1" s="203"/>
      <c r="Y1" s="203"/>
      <c r="Z1" s="203"/>
      <c r="AA1" s="203"/>
      <c r="AB1" s="4"/>
      <c r="AC1" s="202" t="s">
        <v>4</v>
      </c>
      <c r="AD1" s="203"/>
      <c r="AE1" s="203"/>
      <c r="AF1" s="203"/>
      <c r="AG1" s="203"/>
      <c r="AH1" s="203"/>
      <c r="AI1" s="4"/>
      <c r="AJ1" s="202" t="s">
        <v>5</v>
      </c>
      <c r="AK1" s="203"/>
      <c r="AL1" s="203"/>
      <c r="AM1" s="203"/>
      <c r="AN1" s="203"/>
      <c r="AO1" s="203"/>
      <c r="AP1" s="4"/>
      <c r="AQ1" s="202" t="s">
        <v>6</v>
      </c>
      <c r="AR1" s="203"/>
      <c r="AS1" s="203"/>
      <c r="AT1" s="203"/>
      <c r="AU1" s="203"/>
      <c r="AV1" s="203"/>
      <c r="AW1" s="4"/>
      <c r="AX1" s="202" t="s">
        <v>7</v>
      </c>
      <c r="AY1" s="203"/>
      <c r="AZ1" s="203"/>
      <c r="BA1" s="203"/>
      <c r="BB1" s="203"/>
      <c r="BC1" s="203"/>
      <c r="BD1" s="4"/>
      <c r="BE1" s="202" t="s">
        <v>8</v>
      </c>
      <c r="BF1" s="203"/>
      <c r="BG1" s="203"/>
      <c r="BH1" s="203"/>
      <c r="BI1" s="203"/>
      <c r="BJ1" s="203"/>
    </row>
    <row r="2" spans="1:66" s="8" customFormat="1" ht="57.75" customHeight="1" x14ac:dyDescent="0.25">
      <c r="A2" s="7"/>
      <c r="C2" s="204"/>
      <c r="D2" s="205"/>
      <c r="E2" s="205"/>
      <c r="F2" s="205"/>
      <c r="G2" s="9"/>
      <c r="H2" s="10"/>
      <c r="I2" s="11"/>
      <c r="J2" s="206" t="s">
        <v>170</v>
      </c>
      <c r="K2" s="207"/>
      <c r="L2" s="206" t="s">
        <v>171</v>
      </c>
      <c r="M2" s="207"/>
      <c r="N2" s="9"/>
      <c r="O2" s="10"/>
      <c r="P2" s="11"/>
      <c r="Q2" s="206" t="s">
        <v>170</v>
      </c>
      <c r="R2" s="207"/>
      <c r="S2" s="206" t="s">
        <v>171</v>
      </c>
      <c r="T2" s="207"/>
      <c r="U2" s="12"/>
      <c r="V2" s="10"/>
      <c r="W2" s="11"/>
      <c r="X2" s="206" t="s">
        <v>170</v>
      </c>
      <c r="Y2" s="207"/>
      <c r="Z2" s="206" t="s">
        <v>171</v>
      </c>
      <c r="AA2" s="207"/>
      <c r="AB2" s="12"/>
      <c r="AC2" s="10"/>
      <c r="AD2" s="11"/>
      <c r="AE2" s="206" t="s">
        <v>170</v>
      </c>
      <c r="AF2" s="207"/>
      <c r="AG2" s="206" t="s">
        <v>171</v>
      </c>
      <c r="AH2" s="207"/>
      <c r="AI2" s="12"/>
      <c r="AJ2" s="10"/>
      <c r="AK2" s="11"/>
      <c r="AL2" s="206" t="s">
        <v>170</v>
      </c>
      <c r="AM2" s="207"/>
      <c r="AN2" s="206" t="s">
        <v>171</v>
      </c>
      <c r="AO2" s="207"/>
      <c r="AP2" s="12"/>
      <c r="AQ2" s="10"/>
      <c r="AR2" s="11"/>
      <c r="AS2" s="206" t="s">
        <v>170</v>
      </c>
      <c r="AT2" s="207"/>
      <c r="AU2" s="206" t="s">
        <v>171</v>
      </c>
      <c r="AV2" s="207"/>
      <c r="AW2" s="12"/>
      <c r="AX2" s="10"/>
      <c r="AY2" s="11"/>
      <c r="AZ2" s="206" t="s">
        <v>170</v>
      </c>
      <c r="BA2" s="207"/>
      <c r="BB2" s="206" t="s">
        <v>171</v>
      </c>
      <c r="BC2" s="207"/>
      <c r="BD2" s="12"/>
      <c r="BE2" s="10"/>
      <c r="BF2" s="11"/>
      <c r="BG2" s="206" t="s">
        <v>170</v>
      </c>
      <c r="BH2" s="207"/>
      <c r="BI2" s="206" t="s">
        <v>171</v>
      </c>
      <c r="BJ2" s="207"/>
      <c r="BK2" s="13"/>
      <c r="BL2" s="14"/>
      <c r="BM2" s="14"/>
    </row>
    <row r="3" spans="1:66" s="15" customFormat="1" ht="30" x14ac:dyDescent="0.25">
      <c r="B3" s="15" t="s">
        <v>9</v>
      </c>
      <c r="C3" s="16" t="s">
        <v>10</v>
      </c>
      <c r="D3" s="17" t="s">
        <v>11</v>
      </c>
      <c r="E3" s="18" t="s">
        <v>12</v>
      </c>
      <c r="F3" s="19" t="s">
        <v>13</v>
      </c>
      <c r="G3" s="20"/>
      <c r="H3" s="21" t="s">
        <v>14</v>
      </c>
      <c r="I3" s="22" t="s">
        <v>0</v>
      </c>
      <c r="J3" s="23" t="s">
        <v>14</v>
      </c>
      <c r="K3" s="24" t="s">
        <v>13</v>
      </c>
      <c r="L3" s="25" t="s">
        <v>14</v>
      </c>
      <c r="M3" s="24" t="s">
        <v>13</v>
      </c>
      <c r="N3" s="20"/>
      <c r="O3" s="21" t="s">
        <v>14</v>
      </c>
      <c r="P3" s="22" t="s">
        <v>0</v>
      </c>
      <c r="Q3" s="23" t="s">
        <v>14</v>
      </c>
      <c r="R3" s="24" t="s">
        <v>13</v>
      </c>
      <c r="S3" s="25" t="s">
        <v>14</v>
      </c>
      <c r="T3" s="24" t="s">
        <v>13</v>
      </c>
      <c r="U3" s="26"/>
      <c r="V3" s="21" t="s">
        <v>14</v>
      </c>
      <c r="W3" s="22" t="s">
        <v>0</v>
      </c>
      <c r="X3" s="23" t="s">
        <v>14</v>
      </c>
      <c r="Y3" s="24" t="s">
        <v>13</v>
      </c>
      <c r="Z3" s="25" t="s">
        <v>14</v>
      </c>
      <c r="AA3" s="24" t="s">
        <v>13</v>
      </c>
      <c r="AB3" s="26"/>
      <c r="AC3" s="21" t="s">
        <v>14</v>
      </c>
      <c r="AD3" s="22" t="s">
        <v>0</v>
      </c>
      <c r="AE3" s="23" t="s">
        <v>14</v>
      </c>
      <c r="AF3" s="24" t="s">
        <v>13</v>
      </c>
      <c r="AG3" s="25" t="s">
        <v>14</v>
      </c>
      <c r="AH3" s="24" t="s">
        <v>13</v>
      </c>
      <c r="AI3" s="26"/>
      <c r="AJ3" s="21" t="s">
        <v>14</v>
      </c>
      <c r="AK3" s="22" t="s">
        <v>0</v>
      </c>
      <c r="AL3" s="23" t="s">
        <v>14</v>
      </c>
      <c r="AM3" s="24" t="s">
        <v>13</v>
      </c>
      <c r="AN3" s="25" t="s">
        <v>14</v>
      </c>
      <c r="AO3" s="24" t="s">
        <v>13</v>
      </c>
      <c r="AP3" s="26"/>
      <c r="AQ3" s="21" t="s">
        <v>14</v>
      </c>
      <c r="AR3" s="22" t="s">
        <v>0</v>
      </c>
      <c r="AS3" s="23" t="s">
        <v>14</v>
      </c>
      <c r="AT3" s="24" t="s">
        <v>13</v>
      </c>
      <c r="AU3" s="25" t="s">
        <v>14</v>
      </c>
      <c r="AV3" s="24" t="s">
        <v>13</v>
      </c>
      <c r="AW3" s="26"/>
      <c r="AX3" s="21" t="s">
        <v>14</v>
      </c>
      <c r="AY3" s="22" t="s">
        <v>0</v>
      </c>
      <c r="AZ3" s="23" t="s">
        <v>14</v>
      </c>
      <c r="BA3" s="24" t="s">
        <v>13</v>
      </c>
      <c r="BB3" s="25" t="s">
        <v>14</v>
      </c>
      <c r="BC3" s="24" t="s">
        <v>13</v>
      </c>
      <c r="BD3" s="26"/>
      <c r="BE3" s="21" t="s">
        <v>14</v>
      </c>
      <c r="BF3" s="22" t="s">
        <v>0</v>
      </c>
      <c r="BG3" s="23" t="s">
        <v>14</v>
      </c>
      <c r="BH3" s="24" t="s">
        <v>13</v>
      </c>
      <c r="BI3" s="25" t="s">
        <v>14</v>
      </c>
      <c r="BJ3" s="24" t="s">
        <v>13</v>
      </c>
      <c r="BK3" s="27" t="s">
        <v>15</v>
      </c>
      <c r="BL3" s="28" t="s">
        <v>16</v>
      </c>
      <c r="BM3" s="28" t="s">
        <v>17</v>
      </c>
      <c r="BN3" s="15" t="s">
        <v>18</v>
      </c>
    </row>
    <row r="4" spans="1:66" s="15" customFormat="1" x14ac:dyDescent="0.25">
      <c r="A4" s="29" t="s">
        <v>19</v>
      </c>
      <c r="C4" s="30"/>
      <c r="D4" s="31"/>
      <c r="E4" s="32"/>
      <c r="F4" s="33">
        <v>0</v>
      </c>
      <c r="G4" s="34"/>
      <c r="H4" s="35"/>
      <c r="I4" s="36">
        <f>H4*$F4</f>
        <v>0</v>
      </c>
      <c r="J4" s="37"/>
      <c r="K4" s="38">
        <f>J4*I4</f>
        <v>0</v>
      </c>
      <c r="L4" s="37"/>
      <c r="M4" s="38">
        <f>L4*I4</f>
        <v>0</v>
      </c>
      <c r="N4" s="34"/>
      <c r="O4" s="35"/>
      <c r="P4" s="36">
        <f>O4*$F4</f>
        <v>0</v>
      </c>
      <c r="Q4" s="37"/>
      <c r="R4" s="38">
        <f>Q4*P4</f>
        <v>0</v>
      </c>
      <c r="S4" s="37"/>
      <c r="T4" s="38">
        <f>S4*P4</f>
        <v>0</v>
      </c>
      <c r="U4" s="39"/>
      <c r="V4" s="35"/>
      <c r="W4" s="36">
        <f>V4*$F4</f>
        <v>0</v>
      </c>
      <c r="X4" s="37"/>
      <c r="Y4" s="38">
        <f>X4*W4</f>
        <v>0</v>
      </c>
      <c r="Z4" s="37"/>
      <c r="AA4" s="38">
        <f>Z4*W4</f>
        <v>0</v>
      </c>
      <c r="AB4" s="39"/>
      <c r="AC4" s="35"/>
      <c r="AD4" s="36">
        <f>AC4*$F4</f>
        <v>0</v>
      </c>
      <c r="AE4" s="37"/>
      <c r="AF4" s="38">
        <f>AE4*AD4</f>
        <v>0</v>
      </c>
      <c r="AG4" s="37"/>
      <c r="AH4" s="38">
        <f>AG4*AD4</f>
        <v>0</v>
      </c>
      <c r="AI4" s="39"/>
      <c r="AJ4" s="35"/>
      <c r="AK4" s="36">
        <f>AJ4*$F4</f>
        <v>0</v>
      </c>
      <c r="AL4" s="37"/>
      <c r="AM4" s="38">
        <f>AL4*AK4</f>
        <v>0</v>
      </c>
      <c r="AN4" s="37"/>
      <c r="AO4" s="38">
        <f>AN4*AK4</f>
        <v>0</v>
      </c>
      <c r="AP4" s="39"/>
      <c r="AQ4" s="35"/>
      <c r="AR4" s="36">
        <f>AQ4*$F4</f>
        <v>0</v>
      </c>
      <c r="AS4" s="37"/>
      <c r="AT4" s="38">
        <f>AS4*AR4</f>
        <v>0</v>
      </c>
      <c r="AU4" s="37"/>
      <c r="AV4" s="38">
        <f>AU4*AR4</f>
        <v>0</v>
      </c>
      <c r="AW4" s="39"/>
      <c r="AX4" s="35"/>
      <c r="AY4" s="36">
        <f>AX4*$F4</f>
        <v>0</v>
      </c>
      <c r="AZ4" s="37"/>
      <c r="BA4" s="38">
        <f>AZ4*AY4</f>
        <v>0</v>
      </c>
      <c r="BB4" s="37"/>
      <c r="BC4" s="38">
        <f>BB4*AY4</f>
        <v>0</v>
      </c>
      <c r="BD4" s="39"/>
      <c r="BE4" s="35"/>
      <c r="BF4" s="36">
        <f>BE4*$F4</f>
        <v>0</v>
      </c>
      <c r="BG4" s="37"/>
      <c r="BH4" s="38">
        <f>BG4*BF4</f>
        <v>0</v>
      </c>
      <c r="BI4" s="37"/>
      <c r="BJ4" s="38">
        <f>BI4*BF4</f>
        <v>0</v>
      </c>
      <c r="BK4" s="40">
        <f t="shared" ref="BK4:BK27" si="0">F4</f>
        <v>0</v>
      </c>
      <c r="BL4" s="40">
        <f t="shared" ref="BL4:BL27" si="1">I4+P4+W4+AD4+AK4+AR4+AY4+BF4</f>
        <v>0</v>
      </c>
      <c r="BM4" s="40">
        <f>SUM(BJ4,BH4,BC4,BA4,AV4,AT4,AO4,AM4,AH4,AF4,AA4,Y4,T4,R4,M4,K4)</f>
        <v>0</v>
      </c>
      <c r="BN4" s="15">
        <f>IF(AND(BK4=BL4,BL4=BM4,BK4=BM4),0,1)</f>
        <v>0</v>
      </c>
    </row>
    <row r="5" spans="1:66" s="15" customFormat="1" x14ac:dyDescent="0.25">
      <c r="B5" s="2" t="s">
        <v>20</v>
      </c>
      <c r="C5" s="41" t="s">
        <v>21</v>
      </c>
      <c r="D5" s="42">
        <v>1</v>
      </c>
      <c r="E5" s="33">
        <v>50000</v>
      </c>
      <c r="F5" s="33">
        <v>50000</v>
      </c>
      <c r="G5" s="39"/>
      <c r="H5" s="35">
        <v>1</v>
      </c>
      <c r="I5" s="36">
        <f t="shared" ref="I5:I37" si="2">H5*$F5</f>
        <v>50000</v>
      </c>
      <c r="J5" s="37">
        <v>0.5</v>
      </c>
      <c r="K5" s="38">
        <f t="shared" ref="K5:K27" si="3">J5*I5</f>
        <v>25000</v>
      </c>
      <c r="L5" s="37">
        <v>0.5</v>
      </c>
      <c r="M5" s="38">
        <f t="shared" ref="M5:M27" si="4">L5*I5</f>
        <v>25000</v>
      </c>
      <c r="N5" s="39"/>
      <c r="O5" s="35"/>
      <c r="P5" s="36">
        <f t="shared" ref="P5:P37" si="5">O5*$F5</f>
        <v>0</v>
      </c>
      <c r="Q5" s="37"/>
      <c r="R5" s="38">
        <f t="shared" ref="R5:R27" si="6">Q5*P5</f>
        <v>0</v>
      </c>
      <c r="S5" s="37"/>
      <c r="T5" s="38">
        <f t="shared" ref="T5:T27" si="7">S5*P5</f>
        <v>0</v>
      </c>
      <c r="U5" s="39"/>
      <c r="V5" s="35"/>
      <c r="W5" s="36">
        <f t="shared" ref="W5:W37" si="8">V5*$F5</f>
        <v>0</v>
      </c>
      <c r="X5" s="37"/>
      <c r="Y5" s="38">
        <f t="shared" ref="Y5:Y27" si="9">X5*W5</f>
        <v>0</v>
      </c>
      <c r="Z5" s="37"/>
      <c r="AA5" s="38">
        <f t="shared" ref="AA5:AA27" si="10">Z5*W5</f>
        <v>0</v>
      </c>
      <c r="AB5" s="39"/>
      <c r="AC5" s="35"/>
      <c r="AD5" s="36">
        <f t="shared" ref="AD5:AD37" si="11">AC5*$F5</f>
        <v>0</v>
      </c>
      <c r="AE5" s="37"/>
      <c r="AF5" s="38">
        <f t="shared" ref="AF5:AF27" si="12">AE5*AD5</f>
        <v>0</v>
      </c>
      <c r="AG5" s="37"/>
      <c r="AH5" s="38">
        <f t="shared" ref="AH5:AH27" si="13">AG5*AD5</f>
        <v>0</v>
      </c>
      <c r="AI5" s="39"/>
      <c r="AJ5" s="35"/>
      <c r="AK5" s="36">
        <f t="shared" ref="AK5:AK37" si="14">AJ5*$F5</f>
        <v>0</v>
      </c>
      <c r="AL5" s="37"/>
      <c r="AM5" s="38">
        <f t="shared" ref="AM5:AM27" si="15">AL5*AK5</f>
        <v>0</v>
      </c>
      <c r="AN5" s="37"/>
      <c r="AO5" s="38">
        <f t="shared" ref="AO5:AO27" si="16">AN5*AK5</f>
        <v>0</v>
      </c>
      <c r="AP5" s="39"/>
      <c r="AQ5" s="35"/>
      <c r="AR5" s="36">
        <f t="shared" ref="AR5:AR37" si="17">AQ5*$F5</f>
        <v>0</v>
      </c>
      <c r="AS5" s="37"/>
      <c r="AT5" s="38">
        <f t="shared" ref="AT5:AT27" si="18">AS5*AR5</f>
        <v>0</v>
      </c>
      <c r="AU5" s="37"/>
      <c r="AV5" s="38">
        <f t="shared" ref="AV5:AV27" si="19">AU5*AR5</f>
        <v>0</v>
      </c>
      <c r="AW5" s="39"/>
      <c r="AX5" s="35"/>
      <c r="AY5" s="36">
        <f t="shared" ref="AY5:AY37" si="20">AX5*$F5</f>
        <v>0</v>
      </c>
      <c r="AZ5" s="37"/>
      <c r="BA5" s="38">
        <f t="shared" ref="BA5:BA27" si="21">AZ5*AY5</f>
        <v>0</v>
      </c>
      <c r="BB5" s="37"/>
      <c r="BC5" s="38">
        <f t="shared" ref="BC5:BC27" si="22">BB5*AY5</f>
        <v>0</v>
      </c>
      <c r="BD5" s="39"/>
      <c r="BE5" s="35"/>
      <c r="BF5" s="36">
        <f t="shared" ref="BF5:BF37" si="23">BE5*$F5</f>
        <v>0</v>
      </c>
      <c r="BG5" s="37"/>
      <c r="BH5" s="38">
        <f t="shared" ref="BH5:BH27" si="24">BG5*BF5</f>
        <v>0</v>
      </c>
      <c r="BI5" s="37"/>
      <c r="BJ5" s="38">
        <f t="shared" ref="BJ5:BJ25" si="25">BI5*BF5</f>
        <v>0</v>
      </c>
      <c r="BK5" s="40">
        <f t="shared" si="0"/>
        <v>50000</v>
      </c>
      <c r="BL5" s="40">
        <f t="shared" si="1"/>
        <v>50000</v>
      </c>
      <c r="BM5" s="40">
        <f t="shared" ref="BM5:BM41" si="26">SUM(BJ5,BH5,BC5,BA5,AV5,AT5,AO5,AM5,AH5,AF5,AA5,Y5,T5,R5,M5,K5)</f>
        <v>50000</v>
      </c>
      <c r="BN5" s="15">
        <f>IF(AND(BK5=BL5,BL5=BM5,BK5=BM5),0,1)</f>
        <v>0</v>
      </c>
    </row>
    <row r="6" spans="1:66" s="15" customFormat="1" x14ac:dyDescent="0.25">
      <c r="B6" s="2" t="s">
        <v>22</v>
      </c>
      <c r="C6" s="41" t="s">
        <v>21</v>
      </c>
      <c r="D6" s="42">
        <v>1</v>
      </c>
      <c r="E6" s="33">
        <v>125000</v>
      </c>
      <c r="F6" s="33">
        <v>125000</v>
      </c>
      <c r="G6" s="39"/>
      <c r="H6" s="35">
        <v>1</v>
      </c>
      <c r="I6" s="36">
        <f t="shared" si="2"/>
        <v>125000</v>
      </c>
      <c r="J6" s="37">
        <v>0.5</v>
      </c>
      <c r="K6" s="38">
        <f t="shared" si="3"/>
        <v>62500</v>
      </c>
      <c r="L6" s="37">
        <v>0.5</v>
      </c>
      <c r="M6" s="38">
        <f t="shared" si="4"/>
        <v>62500</v>
      </c>
      <c r="N6" s="39"/>
      <c r="O6" s="35"/>
      <c r="P6" s="36">
        <f t="shared" si="5"/>
        <v>0</v>
      </c>
      <c r="Q6" s="37"/>
      <c r="R6" s="38">
        <f t="shared" si="6"/>
        <v>0</v>
      </c>
      <c r="S6" s="37"/>
      <c r="T6" s="38">
        <f t="shared" si="7"/>
        <v>0</v>
      </c>
      <c r="U6" s="39"/>
      <c r="V6" s="35"/>
      <c r="W6" s="36">
        <f t="shared" si="8"/>
        <v>0</v>
      </c>
      <c r="X6" s="37"/>
      <c r="Y6" s="38">
        <f t="shared" si="9"/>
        <v>0</v>
      </c>
      <c r="Z6" s="37"/>
      <c r="AA6" s="38">
        <f t="shared" si="10"/>
        <v>0</v>
      </c>
      <c r="AB6" s="39"/>
      <c r="AC6" s="35"/>
      <c r="AD6" s="36">
        <f t="shared" si="11"/>
        <v>0</v>
      </c>
      <c r="AE6" s="37"/>
      <c r="AF6" s="38">
        <f t="shared" si="12"/>
        <v>0</v>
      </c>
      <c r="AG6" s="37"/>
      <c r="AH6" s="38">
        <f t="shared" si="13"/>
        <v>0</v>
      </c>
      <c r="AI6" s="39"/>
      <c r="AJ6" s="35"/>
      <c r="AK6" s="36">
        <f t="shared" si="14"/>
        <v>0</v>
      </c>
      <c r="AL6" s="37"/>
      <c r="AM6" s="38">
        <f t="shared" si="15"/>
        <v>0</v>
      </c>
      <c r="AN6" s="37"/>
      <c r="AO6" s="38">
        <f t="shared" si="16"/>
        <v>0</v>
      </c>
      <c r="AP6" s="39"/>
      <c r="AQ6" s="35"/>
      <c r="AR6" s="36">
        <f t="shared" si="17"/>
        <v>0</v>
      </c>
      <c r="AS6" s="37"/>
      <c r="AT6" s="38">
        <f t="shared" si="18"/>
        <v>0</v>
      </c>
      <c r="AU6" s="37"/>
      <c r="AV6" s="38">
        <f t="shared" si="19"/>
        <v>0</v>
      </c>
      <c r="AW6" s="39"/>
      <c r="AX6" s="35"/>
      <c r="AY6" s="36">
        <f t="shared" si="20"/>
        <v>0</v>
      </c>
      <c r="AZ6" s="37"/>
      <c r="BA6" s="38">
        <f t="shared" si="21"/>
        <v>0</v>
      </c>
      <c r="BB6" s="37"/>
      <c r="BC6" s="38">
        <f t="shared" si="22"/>
        <v>0</v>
      </c>
      <c r="BD6" s="39"/>
      <c r="BE6" s="35"/>
      <c r="BF6" s="36">
        <f t="shared" si="23"/>
        <v>0</v>
      </c>
      <c r="BG6" s="37"/>
      <c r="BH6" s="38">
        <f t="shared" si="24"/>
        <v>0</v>
      </c>
      <c r="BI6" s="37"/>
      <c r="BJ6" s="38">
        <f t="shared" si="25"/>
        <v>0</v>
      </c>
      <c r="BK6" s="40">
        <f t="shared" si="0"/>
        <v>125000</v>
      </c>
      <c r="BL6" s="40">
        <f t="shared" si="1"/>
        <v>125000</v>
      </c>
      <c r="BM6" s="40">
        <f t="shared" si="26"/>
        <v>125000</v>
      </c>
      <c r="BN6" s="15">
        <f t="shared" ref="BN6:BN41" si="27">IF(AND(BK6=BL6,BL6=BM6,BK6=BM6),0,1)</f>
        <v>0</v>
      </c>
    </row>
    <row r="7" spans="1:66" s="15" customFormat="1" x14ac:dyDescent="0.25">
      <c r="B7" s="43" t="s">
        <v>23</v>
      </c>
      <c r="C7" s="41" t="s">
        <v>21</v>
      </c>
      <c r="D7" s="42">
        <v>1</v>
      </c>
      <c r="E7" s="33">
        <v>30000</v>
      </c>
      <c r="F7" s="33">
        <v>30000</v>
      </c>
      <c r="G7" s="39"/>
      <c r="H7" s="35">
        <v>1</v>
      </c>
      <c r="I7" s="36">
        <f t="shared" si="2"/>
        <v>30000</v>
      </c>
      <c r="J7" s="37">
        <v>0.5</v>
      </c>
      <c r="K7" s="38">
        <f t="shared" si="3"/>
        <v>15000</v>
      </c>
      <c r="L7" s="37">
        <v>0.5</v>
      </c>
      <c r="M7" s="38">
        <f t="shared" si="4"/>
        <v>15000</v>
      </c>
      <c r="N7" s="39"/>
      <c r="O7" s="35"/>
      <c r="P7" s="36">
        <f t="shared" si="5"/>
        <v>0</v>
      </c>
      <c r="Q7" s="37"/>
      <c r="R7" s="38">
        <f t="shared" si="6"/>
        <v>0</v>
      </c>
      <c r="S7" s="37"/>
      <c r="T7" s="38">
        <f t="shared" si="7"/>
        <v>0</v>
      </c>
      <c r="U7" s="39"/>
      <c r="V7" s="35"/>
      <c r="W7" s="36">
        <f t="shared" si="8"/>
        <v>0</v>
      </c>
      <c r="X7" s="37"/>
      <c r="Y7" s="38">
        <f t="shared" si="9"/>
        <v>0</v>
      </c>
      <c r="Z7" s="37"/>
      <c r="AA7" s="38">
        <f t="shared" si="10"/>
        <v>0</v>
      </c>
      <c r="AB7" s="39"/>
      <c r="AC7" s="35"/>
      <c r="AD7" s="36">
        <f t="shared" si="11"/>
        <v>0</v>
      </c>
      <c r="AE7" s="37"/>
      <c r="AF7" s="38">
        <f t="shared" si="12"/>
        <v>0</v>
      </c>
      <c r="AG7" s="37"/>
      <c r="AH7" s="38">
        <f t="shared" si="13"/>
        <v>0</v>
      </c>
      <c r="AI7" s="39"/>
      <c r="AJ7" s="35"/>
      <c r="AK7" s="36">
        <f t="shared" si="14"/>
        <v>0</v>
      </c>
      <c r="AL7" s="37"/>
      <c r="AM7" s="38">
        <f t="shared" si="15"/>
        <v>0</v>
      </c>
      <c r="AN7" s="37"/>
      <c r="AO7" s="38">
        <f t="shared" si="16"/>
        <v>0</v>
      </c>
      <c r="AP7" s="39"/>
      <c r="AQ7" s="35"/>
      <c r="AR7" s="36">
        <f t="shared" si="17"/>
        <v>0</v>
      </c>
      <c r="AS7" s="37"/>
      <c r="AT7" s="38">
        <f t="shared" si="18"/>
        <v>0</v>
      </c>
      <c r="AU7" s="37"/>
      <c r="AV7" s="38">
        <f t="shared" si="19"/>
        <v>0</v>
      </c>
      <c r="AW7" s="39"/>
      <c r="AX7" s="35"/>
      <c r="AY7" s="36">
        <f t="shared" si="20"/>
        <v>0</v>
      </c>
      <c r="AZ7" s="37"/>
      <c r="BA7" s="38">
        <f t="shared" si="21"/>
        <v>0</v>
      </c>
      <c r="BB7" s="37"/>
      <c r="BC7" s="38">
        <f t="shared" si="22"/>
        <v>0</v>
      </c>
      <c r="BD7" s="39"/>
      <c r="BE7" s="35"/>
      <c r="BF7" s="36">
        <f t="shared" si="23"/>
        <v>0</v>
      </c>
      <c r="BG7" s="37"/>
      <c r="BH7" s="38">
        <f t="shared" si="24"/>
        <v>0</v>
      </c>
      <c r="BI7" s="37"/>
      <c r="BJ7" s="38">
        <f t="shared" si="25"/>
        <v>0</v>
      </c>
      <c r="BK7" s="40">
        <f t="shared" si="0"/>
        <v>30000</v>
      </c>
      <c r="BL7" s="40">
        <f t="shared" si="1"/>
        <v>30000</v>
      </c>
      <c r="BM7" s="40">
        <f t="shared" si="26"/>
        <v>30000</v>
      </c>
      <c r="BN7" s="15">
        <f t="shared" si="27"/>
        <v>0</v>
      </c>
    </row>
    <row r="8" spans="1:66" s="15" customFormat="1" x14ac:dyDescent="0.25">
      <c r="B8" s="2"/>
      <c r="C8" s="44"/>
      <c r="D8" s="42"/>
      <c r="E8" s="33"/>
      <c r="F8" s="33"/>
      <c r="G8" s="39"/>
      <c r="H8" s="35"/>
      <c r="I8" s="36">
        <f t="shared" si="2"/>
        <v>0</v>
      </c>
      <c r="J8" s="37"/>
      <c r="K8" s="38">
        <f t="shared" si="3"/>
        <v>0</v>
      </c>
      <c r="L8" s="37"/>
      <c r="M8" s="38">
        <f t="shared" si="4"/>
        <v>0</v>
      </c>
      <c r="N8" s="39"/>
      <c r="O8" s="35"/>
      <c r="P8" s="36">
        <f t="shared" si="5"/>
        <v>0</v>
      </c>
      <c r="Q8" s="37"/>
      <c r="R8" s="38">
        <f t="shared" si="6"/>
        <v>0</v>
      </c>
      <c r="S8" s="37"/>
      <c r="T8" s="38">
        <f t="shared" si="7"/>
        <v>0</v>
      </c>
      <c r="U8" s="39"/>
      <c r="V8" s="35"/>
      <c r="W8" s="36">
        <f t="shared" si="8"/>
        <v>0</v>
      </c>
      <c r="X8" s="37"/>
      <c r="Y8" s="38">
        <f t="shared" si="9"/>
        <v>0</v>
      </c>
      <c r="Z8" s="37"/>
      <c r="AA8" s="38">
        <f t="shared" si="10"/>
        <v>0</v>
      </c>
      <c r="AB8" s="39"/>
      <c r="AC8" s="35"/>
      <c r="AD8" s="36">
        <f t="shared" si="11"/>
        <v>0</v>
      </c>
      <c r="AE8" s="37"/>
      <c r="AF8" s="38">
        <f t="shared" si="12"/>
        <v>0</v>
      </c>
      <c r="AG8" s="37"/>
      <c r="AH8" s="38">
        <f t="shared" si="13"/>
        <v>0</v>
      </c>
      <c r="AI8" s="39"/>
      <c r="AJ8" s="35"/>
      <c r="AK8" s="36">
        <f t="shared" si="14"/>
        <v>0</v>
      </c>
      <c r="AL8" s="37"/>
      <c r="AM8" s="38">
        <f t="shared" si="15"/>
        <v>0</v>
      </c>
      <c r="AN8" s="37"/>
      <c r="AO8" s="38">
        <f t="shared" si="16"/>
        <v>0</v>
      </c>
      <c r="AP8" s="39"/>
      <c r="AQ8" s="35"/>
      <c r="AR8" s="36">
        <f t="shared" si="17"/>
        <v>0</v>
      </c>
      <c r="AS8" s="37"/>
      <c r="AT8" s="38">
        <f t="shared" si="18"/>
        <v>0</v>
      </c>
      <c r="AU8" s="37"/>
      <c r="AV8" s="38">
        <f t="shared" si="19"/>
        <v>0</v>
      </c>
      <c r="AW8" s="39"/>
      <c r="AX8" s="35"/>
      <c r="AY8" s="36">
        <f t="shared" si="20"/>
        <v>0</v>
      </c>
      <c r="AZ8" s="37"/>
      <c r="BA8" s="38">
        <f t="shared" si="21"/>
        <v>0</v>
      </c>
      <c r="BB8" s="37"/>
      <c r="BC8" s="38">
        <f t="shared" si="22"/>
        <v>0</v>
      </c>
      <c r="BD8" s="39"/>
      <c r="BE8" s="35"/>
      <c r="BF8" s="36">
        <f t="shared" si="23"/>
        <v>0</v>
      </c>
      <c r="BG8" s="37"/>
      <c r="BH8" s="38">
        <f t="shared" si="24"/>
        <v>0</v>
      </c>
      <c r="BI8" s="37"/>
      <c r="BJ8" s="38">
        <f t="shared" si="25"/>
        <v>0</v>
      </c>
      <c r="BK8" s="40">
        <f t="shared" si="0"/>
        <v>0</v>
      </c>
      <c r="BL8" s="40">
        <f t="shared" si="1"/>
        <v>0</v>
      </c>
      <c r="BM8" s="40">
        <f t="shared" si="26"/>
        <v>0</v>
      </c>
      <c r="BN8" s="15">
        <f t="shared" si="27"/>
        <v>0</v>
      </c>
    </row>
    <row r="9" spans="1:66" x14ac:dyDescent="0.25">
      <c r="A9" s="1" t="s">
        <v>24</v>
      </c>
      <c r="C9" s="44"/>
      <c r="D9" s="52"/>
      <c r="E9" s="33"/>
      <c r="F9" s="33">
        <v>0</v>
      </c>
      <c r="G9" s="39"/>
      <c r="H9" s="35"/>
      <c r="I9" s="36">
        <f t="shared" si="2"/>
        <v>0</v>
      </c>
      <c r="J9" s="37"/>
      <c r="K9" s="38">
        <f t="shared" si="3"/>
        <v>0</v>
      </c>
      <c r="L9" s="37"/>
      <c r="M9" s="38">
        <f t="shared" si="4"/>
        <v>0</v>
      </c>
      <c r="N9" s="39"/>
      <c r="O9" s="35"/>
      <c r="P9" s="36">
        <f t="shared" si="5"/>
        <v>0</v>
      </c>
      <c r="Q9" s="37"/>
      <c r="R9" s="38">
        <f t="shared" si="6"/>
        <v>0</v>
      </c>
      <c r="S9" s="37"/>
      <c r="T9" s="38">
        <f t="shared" si="7"/>
        <v>0</v>
      </c>
      <c r="U9" s="39"/>
      <c r="V9" s="35"/>
      <c r="W9" s="36">
        <f t="shared" si="8"/>
        <v>0</v>
      </c>
      <c r="X9" s="37"/>
      <c r="Y9" s="38">
        <f t="shared" si="9"/>
        <v>0</v>
      </c>
      <c r="Z9" s="37"/>
      <c r="AA9" s="38">
        <f t="shared" si="10"/>
        <v>0</v>
      </c>
      <c r="AB9" s="39"/>
      <c r="AC9" s="35"/>
      <c r="AD9" s="36">
        <f t="shared" si="11"/>
        <v>0</v>
      </c>
      <c r="AE9" s="37"/>
      <c r="AF9" s="38">
        <f t="shared" si="12"/>
        <v>0</v>
      </c>
      <c r="AG9" s="37"/>
      <c r="AH9" s="38">
        <f t="shared" si="13"/>
        <v>0</v>
      </c>
      <c r="AI9" s="39"/>
      <c r="AJ9" s="35"/>
      <c r="AK9" s="36">
        <f t="shared" si="14"/>
        <v>0</v>
      </c>
      <c r="AL9" s="37"/>
      <c r="AM9" s="38">
        <f t="shared" si="15"/>
        <v>0</v>
      </c>
      <c r="AN9" s="37"/>
      <c r="AO9" s="38">
        <f t="shared" si="16"/>
        <v>0</v>
      </c>
      <c r="AP9" s="39"/>
      <c r="AQ9" s="35"/>
      <c r="AR9" s="36">
        <f t="shared" si="17"/>
        <v>0</v>
      </c>
      <c r="AS9" s="37"/>
      <c r="AT9" s="38">
        <f t="shared" si="18"/>
        <v>0</v>
      </c>
      <c r="AU9" s="37"/>
      <c r="AV9" s="38">
        <f t="shared" si="19"/>
        <v>0</v>
      </c>
      <c r="AW9" s="39"/>
      <c r="AX9" s="35"/>
      <c r="AY9" s="36">
        <f t="shared" si="20"/>
        <v>0</v>
      </c>
      <c r="AZ9" s="37"/>
      <c r="BA9" s="38">
        <f t="shared" si="21"/>
        <v>0</v>
      </c>
      <c r="BB9" s="37"/>
      <c r="BC9" s="38">
        <f t="shared" si="22"/>
        <v>0</v>
      </c>
      <c r="BD9" s="39"/>
      <c r="BE9" s="35"/>
      <c r="BF9" s="36">
        <f t="shared" si="23"/>
        <v>0</v>
      </c>
      <c r="BG9" s="37"/>
      <c r="BH9" s="38">
        <f t="shared" si="24"/>
        <v>0</v>
      </c>
      <c r="BI9" s="37"/>
      <c r="BJ9" s="38">
        <f t="shared" si="25"/>
        <v>0</v>
      </c>
      <c r="BK9" s="40">
        <f t="shared" si="0"/>
        <v>0</v>
      </c>
      <c r="BL9" s="40">
        <f t="shared" si="1"/>
        <v>0</v>
      </c>
      <c r="BM9" s="40">
        <f t="shared" si="26"/>
        <v>0</v>
      </c>
      <c r="BN9" s="15">
        <f t="shared" si="27"/>
        <v>0</v>
      </c>
    </row>
    <row r="10" spans="1:66" x14ac:dyDescent="0.25">
      <c r="A10" s="2"/>
      <c r="B10" s="2" t="s">
        <v>25</v>
      </c>
      <c r="C10" s="41" t="s">
        <v>21</v>
      </c>
      <c r="D10" s="52">
        <v>1</v>
      </c>
      <c r="E10" s="33">
        <v>150000</v>
      </c>
      <c r="F10" s="33">
        <v>150000</v>
      </c>
      <c r="G10" s="39"/>
      <c r="H10" s="35">
        <v>0.125</v>
      </c>
      <c r="I10" s="36">
        <f t="shared" si="2"/>
        <v>18750</v>
      </c>
      <c r="J10" s="37">
        <v>0.5</v>
      </c>
      <c r="K10" s="38">
        <f t="shared" si="3"/>
        <v>9375</v>
      </c>
      <c r="L10" s="37">
        <v>0.5</v>
      </c>
      <c r="M10" s="38">
        <f t="shared" si="4"/>
        <v>9375</v>
      </c>
      <c r="N10" s="39"/>
      <c r="O10" s="35">
        <v>0.125</v>
      </c>
      <c r="P10" s="36">
        <f t="shared" si="5"/>
        <v>18750</v>
      </c>
      <c r="Q10" s="37">
        <v>0.5</v>
      </c>
      <c r="R10" s="38">
        <f t="shared" si="6"/>
        <v>9375</v>
      </c>
      <c r="S10" s="37">
        <v>0.5</v>
      </c>
      <c r="T10" s="38">
        <f t="shared" si="7"/>
        <v>9375</v>
      </c>
      <c r="U10" s="39"/>
      <c r="V10" s="35">
        <v>0.125</v>
      </c>
      <c r="W10" s="36">
        <f t="shared" si="8"/>
        <v>18750</v>
      </c>
      <c r="X10" s="37">
        <v>0.5</v>
      </c>
      <c r="Y10" s="38">
        <f t="shared" si="9"/>
        <v>9375</v>
      </c>
      <c r="Z10" s="37">
        <v>0.5</v>
      </c>
      <c r="AA10" s="38">
        <f t="shared" si="10"/>
        <v>9375</v>
      </c>
      <c r="AB10" s="39"/>
      <c r="AC10" s="35">
        <v>0.125</v>
      </c>
      <c r="AD10" s="36">
        <f t="shared" si="11"/>
        <v>18750</v>
      </c>
      <c r="AE10" s="37">
        <v>0.5</v>
      </c>
      <c r="AF10" s="38">
        <f t="shared" si="12"/>
        <v>9375</v>
      </c>
      <c r="AG10" s="37">
        <v>0.5</v>
      </c>
      <c r="AH10" s="38">
        <f t="shared" si="13"/>
        <v>9375</v>
      </c>
      <c r="AI10" s="39"/>
      <c r="AJ10" s="35">
        <v>0.125</v>
      </c>
      <c r="AK10" s="36">
        <f t="shared" si="14"/>
        <v>18750</v>
      </c>
      <c r="AL10" s="37">
        <v>0.5</v>
      </c>
      <c r="AM10" s="38">
        <f t="shared" si="15"/>
        <v>9375</v>
      </c>
      <c r="AN10" s="37">
        <v>0.5</v>
      </c>
      <c r="AO10" s="38">
        <f t="shared" si="16"/>
        <v>9375</v>
      </c>
      <c r="AP10" s="39"/>
      <c r="AQ10" s="35">
        <v>0.125</v>
      </c>
      <c r="AR10" s="36">
        <f t="shared" si="17"/>
        <v>18750</v>
      </c>
      <c r="AS10" s="37">
        <v>0.5</v>
      </c>
      <c r="AT10" s="38">
        <f t="shared" si="18"/>
        <v>9375</v>
      </c>
      <c r="AU10" s="37">
        <v>0.5</v>
      </c>
      <c r="AV10" s="38">
        <f t="shared" si="19"/>
        <v>9375</v>
      </c>
      <c r="AW10" s="39"/>
      <c r="AX10" s="35">
        <v>0.125</v>
      </c>
      <c r="AY10" s="36">
        <f t="shared" si="20"/>
        <v>18750</v>
      </c>
      <c r="AZ10" s="37">
        <v>0.5</v>
      </c>
      <c r="BA10" s="38">
        <f t="shared" si="21"/>
        <v>9375</v>
      </c>
      <c r="BB10" s="37">
        <v>0.5</v>
      </c>
      <c r="BC10" s="38">
        <f t="shared" si="22"/>
        <v>9375</v>
      </c>
      <c r="BD10" s="39"/>
      <c r="BE10" s="35">
        <v>0.125</v>
      </c>
      <c r="BF10" s="36">
        <f t="shared" si="23"/>
        <v>18750</v>
      </c>
      <c r="BG10" s="37">
        <v>0.5</v>
      </c>
      <c r="BH10" s="38">
        <f t="shared" si="24"/>
        <v>9375</v>
      </c>
      <c r="BI10" s="37">
        <v>0.5</v>
      </c>
      <c r="BJ10" s="38">
        <f t="shared" si="25"/>
        <v>9375</v>
      </c>
      <c r="BK10" s="40">
        <f t="shared" si="0"/>
        <v>150000</v>
      </c>
      <c r="BL10" s="40">
        <f t="shared" si="1"/>
        <v>150000</v>
      </c>
      <c r="BM10" s="40">
        <f t="shared" si="26"/>
        <v>150000</v>
      </c>
      <c r="BN10" s="15">
        <f t="shared" si="27"/>
        <v>0</v>
      </c>
    </row>
    <row r="11" spans="1:66" x14ac:dyDescent="0.25">
      <c r="B11" s="47" t="s">
        <v>29</v>
      </c>
      <c r="C11" s="41" t="s">
        <v>21</v>
      </c>
      <c r="D11" s="52">
        <v>1</v>
      </c>
      <c r="E11" s="33">
        <v>150000</v>
      </c>
      <c r="F11" s="33">
        <v>150000</v>
      </c>
      <c r="G11" s="39"/>
      <c r="H11" s="35"/>
      <c r="I11" s="36">
        <f t="shared" si="2"/>
        <v>0</v>
      </c>
      <c r="J11" s="37"/>
      <c r="K11" s="38">
        <f t="shared" si="3"/>
        <v>0</v>
      </c>
      <c r="L11" s="37"/>
      <c r="M11" s="38">
        <f t="shared" si="4"/>
        <v>0</v>
      </c>
      <c r="N11" s="39"/>
      <c r="O11" s="35"/>
      <c r="P11" s="36">
        <f t="shared" si="5"/>
        <v>0</v>
      </c>
      <c r="Q11" s="37"/>
      <c r="R11" s="38">
        <f t="shared" si="6"/>
        <v>0</v>
      </c>
      <c r="S11" s="37"/>
      <c r="T11" s="38">
        <f t="shared" si="7"/>
        <v>0</v>
      </c>
      <c r="U11" s="39"/>
      <c r="V11" s="35"/>
      <c r="W11" s="36">
        <f t="shared" si="8"/>
        <v>0</v>
      </c>
      <c r="X11" s="37"/>
      <c r="Y11" s="38">
        <f t="shared" si="9"/>
        <v>0</v>
      </c>
      <c r="Z11" s="37"/>
      <c r="AA11" s="38">
        <f t="shared" si="10"/>
        <v>0</v>
      </c>
      <c r="AB11" s="39"/>
      <c r="AC11" s="35">
        <v>0.05</v>
      </c>
      <c r="AD11" s="36">
        <f t="shared" si="11"/>
        <v>7500</v>
      </c>
      <c r="AE11" s="37">
        <v>0.5</v>
      </c>
      <c r="AF11" s="38">
        <f t="shared" si="12"/>
        <v>3750</v>
      </c>
      <c r="AG11" s="37">
        <v>0.5</v>
      </c>
      <c r="AH11" s="38">
        <f t="shared" si="13"/>
        <v>3750</v>
      </c>
      <c r="AI11" s="39"/>
      <c r="AJ11" s="35">
        <v>0.95</v>
      </c>
      <c r="AK11" s="36">
        <f t="shared" si="14"/>
        <v>142500</v>
      </c>
      <c r="AL11" s="37">
        <v>0.5</v>
      </c>
      <c r="AM11" s="38">
        <f t="shared" si="15"/>
        <v>71250</v>
      </c>
      <c r="AN11" s="37">
        <v>0.5</v>
      </c>
      <c r="AO11" s="38">
        <f t="shared" si="16"/>
        <v>71250</v>
      </c>
      <c r="AP11" s="39"/>
      <c r="AQ11" s="35"/>
      <c r="AR11" s="36">
        <f t="shared" si="17"/>
        <v>0</v>
      </c>
      <c r="AS11" s="37"/>
      <c r="AT11" s="38">
        <f t="shared" si="18"/>
        <v>0</v>
      </c>
      <c r="AU11" s="37"/>
      <c r="AV11" s="38">
        <f t="shared" si="19"/>
        <v>0</v>
      </c>
      <c r="AW11" s="39"/>
      <c r="AX11" s="35"/>
      <c r="AY11" s="36">
        <f t="shared" si="20"/>
        <v>0</v>
      </c>
      <c r="AZ11" s="37"/>
      <c r="BA11" s="38">
        <f t="shared" si="21"/>
        <v>0</v>
      </c>
      <c r="BB11" s="37"/>
      <c r="BC11" s="38">
        <f t="shared" si="22"/>
        <v>0</v>
      </c>
      <c r="BD11" s="39"/>
      <c r="BE11" s="35"/>
      <c r="BF11" s="36">
        <f t="shared" si="23"/>
        <v>0</v>
      </c>
      <c r="BG11" s="37"/>
      <c r="BH11" s="38">
        <f t="shared" si="24"/>
        <v>0</v>
      </c>
      <c r="BI11" s="37"/>
      <c r="BJ11" s="38">
        <f t="shared" si="25"/>
        <v>0</v>
      </c>
      <c r="BK11" s="40">
        <f t="shared" si="0"/>
        <v>150000</v>
      </c>
      <c r="BL11" s="40">
        <f t="shared" si="1"/>
        <v>150000</v>
      </c>
      <c r="BM11" s="40">
        <f t="shared" si="26"/>
        <v>150000</v>
      </c>
      <c r="BN11" s="15">
        <f t="shared" si="27"/>
        <v>0</v>
      </c>
    </row>
    <row r="12" spans="1:66" x14ac:dyDescent="0.25">
      <c r="B12" s="45" t="s">
        <v>30</v>
      </c>
      <c r="C12" s="41" t="s">
        <v>21</v>
      </c>
      <c r="D12" s="52">
        <v>1</v>
      </c>
      <c r="E12" s="33">
        <v>100000</v>
      </c>
      <c r="F12" s="33">
        <v>100000</v>
      </c>
      <c r="G12" s="39"/>
      <c r="H12" s="35"/>
      <c r="I12" s="36">
        <f t="shared" si="2"/>
        <v>0</v>
      </c>
      <c r="J12" s="37"/>
      <c r="K12" s="38">
        <f t="shared" si="3"/>
        <v>0</v>
      </c>
      <c r="L12" s="37"/>
      <c r="M12" s="38">
        <f t="shared" si="4"/>
        <v>0</v>
      </c>
      <c r="N12" s="39"/>
      <c r="O12" s="35"/>
      <c r="P12" s="36">
        <f t="shared" si="5"/>
        <v>0</v>
      </c>
      <c r="Q12" s="37"/>
      <c r="R12" s="38">
        <f t="shared" si="6"/>
        <v>0</v>
      </c>
      <c r="S12" s="37"/>
      <c r="T12" s="38">
        <f t="shared" si="7"/>
        <v>0</v>
      </c>
      <c r="U12" s="39"/>
      <c r="V12" s="35"/>
      <c r="W12" s="36">
        <f t="shared" si="8"/>
        <v>0</v>
      </c>
      <c r="X12" s="37"/>
      <c r="Y12" s="38">
        <f t="shared" si="9"/>
        <v>0</v>
      </c>
      <c r="Z12" s="37"/>
      <c r="AA12" s="38">
        <f t="shared" si="10"/>
        <v>0</v>
      </c>
      <c r="AB12" s="39"/>
      <c r="AC12" s="35"/>
      <c r="AD12" s="36">
        <f t="shared" si="11"/>
        <v>0</v>
      </c>
      <c r="AE12" s="37"/>
      <c r="AF12" s="38">
        <f t="shared" si="12"/>
        <v>0</v>
      </c>
      <c r="AG12" s="37"/>
      <c r="AH12" s="38">
        <f t="shared" si="13"/>
        <v>0</v>
      </c>
      <c r="AI12" s="39"/>
      <c r="AJ12" s="35"/>
      <c r="AK12" s="36">
        <f t="shared" si="14"/>
        <v>0</v>
      </c>
      <c r="AL12" s="37"/>
      <c r="AM12" s="38">
        <f t="shared" si="15"/>
        <v>0</v>
      </c>
      <c r="AN12" s="37"/>
      <c r="AO12" s="38">
        <f t="shared" si="16"/>
        <v>0</v>
      </c>
      <c r="AP12" s="39"/>
      <c r="AQ12" s="35">
        <v>1</v>
      </c>
      <c r="AR12" s="36">
        <f t="shared" si="17"/>
        <v>100000</v>
      </c>
      <c r="AS12" s="37">
        <v>0.5</v>
      </c>
      <c r="AT12" s="38">
        <f t="shared" si="18"/>
        <v>50000</v>
      </c>
      <c r="AU12" s="37">
        <v>0.5</v>
      </c>
      <c r="AV12" s="38">
        <f t="shared" si="19"/>
        <v>50000</v>
      </c>
      <c r="AW12" s="39"/>
      <c r="AX12" s="35"/>
      <c r="AY12" s="36">
        <f t="shared" si="20"/>
        <v>0</v>
      </c>
      <c r="AZ12" s="37"/>
      <c r="BA12" s="38">
        <f t="shared" si="21"/>
        <v>0</v>
      </c>
      <c r="BB12" s="37"/>
      <c r="BC12" s="38">
        <f t="shared" si="22"/>
        <v>0</v>
      </c>
      <c r="BD12" s="39"/>
      <c r="BE12" s="35"/>
      <c r="BF12" s="36">
        <f t="shared" si="23"/>
        <v>0</v>
      </c>
      <c r="BG12" s="37"/>
      <c r="BH12" s="38">
        <f t="shared" si="24"/>
        <v>0</v>
      </c>
      <c r="BI12" s="37"/>
      <c r="BJ12" s="38">
        <f t="shared" si="25"/>
        <v>0</v>
      </c>
      <c r="BK12" s="40">
        <f t="shared" si="0"/>
        <v>100000</v>
      </c>
      <c r="BL12" s="40">
        <f t="shared" si="1"/>
        <v>100000</v>
      </c>
      <c r="BM12" s="40">
        <f t="shared" si="26"/>
        <v>100000</v>
      </c>
      <c r="BN12" s="15">
        <f t="shared" si="27"/>
        <v>0</v>
      </c>
    </row>
    <row r="13" spans="1:66" x14ac:dyDescent="0.25">
      <c r="A13" s="2"/>
      <c r="B13" s="2" t="s">
        <v>31</v>
      </c>
      <c r="C13" s="41" t="s">
        <v>27</v>
      </c>
      <c r="D13" s="52">
        <v>550000</v>
      </c>
      <c r="E13" s="48">
        <v>0.25</v>
      </c>
      <c r="F13" s="33">
        <v>137500</v>
      </c>
      <c r="G13" s="39"/>
      <c r="H13" s="35"/>
      <c r="I13" s="36">
        <f t="shared" si="2"/>
        <v>0</v>
      </c>
      <c r="J13" s="37"/>
      <c r="K13" s="38">
        <f t="shared" si="3"/>
        <v>0</v>
      </c>
      <c r="L13" s="37"/>
      <c r="M13" s="38">
        <f t="shared" si="4"/>
        <v>0</v>
      </c>
      <c r="N13" s="39"/>
      <c r="O13" s="35">
        <v>1</v>
      </c>
      <c r="P13" s="36">
        <f t="shared" si="5"/>
        <v>137500</v>
      </c>
      <c r="Q13" s="37">
        <v>0.5</v>
      </c>
      <c r="R13" s="38">
        <f t="shared" si="6"/>
        <v>68750</v>
      </c>
      <c r="S13" s="37">
        <v>0.5</v>
      </c>
      <c r="T13" s="38">
        <f t="shared" si="7"/>
        <v>68750</v>
      </c>
      <c r="U13" s="39"/>
      <c r="V13" s="35"/>
      <c r="W13" s="36">
        <f t="shared" si="8"/>
        <v>0</v>
      </c>
      <c r="X13" s="37"/>
      <c r="Y13" s="38">
        <f t="shared" si="9"/>
        <v>0</v>
      </c>
      <c r="Z13" s="37"/>
      <c r="AA13" s="38">
        <f t="shared" si="10"/>
        <v>0</v>
      </c>
      <c r="AB13" s="39"/>
      <c r="AC13" s="35"/>
      <c r="AD13" s="36">
        <f t="shared" si="11"/>
        <v>0</v>
      </c>
      <c r="AE13" s="37"/>
      <c r="AF13" s="38">
        <f t="shared" si="12"/>
        <v>0</v>
      </c>
      <c r="AG13" s="37"/>
      <c r="AH13" s="38">
        <f t="shared" si="13"/>
        <v>0</v>
      </c>
      <c r="AI13" s="39"/>
      <c r="AJ13" s="35"/>
      <c r="AK13" s="36">
        <f t="shared" si="14"/>
        <v>0</v>
      </c>
      <c r="AL13" s="37"/>
      <c r="AM13" s="38">
        <f t="shared" si="15"/>
        <v>0</v>
      </c>
      <c r="AN13" s="37"/>
      <c r="AO13" s="38">
        <f t="shared" si="16"/>
        <v>0</v>
      </c>
      <c r="AP13" s="39"/>
      <c r="AQ13" s="35"/>
      <c r="AR13" s="36">
        <f t="shared" si="17"/>
        <v>0</v>
      </c>
      <c r="AS13" s="37"/>
      <c r="AT13" s="38">
        <f t="shared" si="18"/>
        <v>0</v>
      </c>
      <c r="AU13" s="37"/>
      <c r="AV13" s="38">
        <f t="shared" si="19"/>
        <v>0</v>
      </c>
      <c r="AW13" s="39"/>
      <c r="AX13" s="35"/>
      <c r="AY13" s="36">
        <f t="shared" si="20"/>
        <v>0</v>
      </c>
      <c r="AZ13" s="37"/>
      <c r="BA13" s="38">
        <f t="shared" si="21"/>
        <v>0</v>
      </c>
      <c r="BB13" s="37"/>
      <c r="BC13" s="38">
        <f t="shared" si="22"/>
        <v>0</v>
      </c>
      <c r="BD13" s="39"/>
      <c r="BE13" s="35"/>
      <c r="BF13" s="36">
        <f t="shared" si="23"/>
        <v>0</v>
      </c>
      <c r="BG13" s="37"/>
      <c r="BH13" s="38">
        <f t="shared" si="24"/>
        <v>0</v>
      </c>
      <c r="BI13" s="37"/>
      <c r="BJ13" s="38">
        <f t="shared" si="25"/>
        <v>0</v>
      </c>
      <c r="BK13" s="40">
        <f t="shared" si="0"/>
        <v>137500</v>
      </c>
      <c r="BL13" s="40">
        <f t="shared" si="1"/>
        <v>137500</v>
      </c>
      <c r="BM13" s="40">
        <f t="shared" si="26"/>
        <v>137500</v>
      </c>
      <c r="BN13" s="15">
        <f t="shared" si="27"/>
        <v>0</v>
      </c>
    </row>
    <row r="14" spans="1:66" x14ac:dyDescent="0.25">
      <c r="B14" s="43"/>
      <c r="C14" s="41"/>
      <c r="D14" s="52"/>
      <c r="E14" s="49"/>
      <c r="F14" s="33">
        <v>0</v>
      </c>
      <c r="G14" s="39"/>
      <c r="H14" s="35"/>
      <c r="I14" s="36">
        <f t="shared" si="2"/>
        <v>0</v>
      </c>
      <c r="J14" s="37"/>
      <c r="K14" s="38">
        <f t="shared" si="3"/>
        <v>0</v>
      </c>
      <c r="L14" s="37"/>
      <c r="M14" s="38">
        <f t="shared" si="4"/>
        <v>0</v>
      </c>
      <c r="N14" s="39"/>
      <c r="O14" s="35"/>
      <c r="P14" s="36">
        <f t="shared" si="5"/>
        <v>0</v>
      </c>
      <c r="Q14" s="37"/>
      <c r="R14" s="38">
        <f t="shared" si="6"/>
        <v>0</v>
      </c>
      <c r="S14" s="37"/>
      <c r="T14" s="38">
        <f t="shared" si="7"/>
        <v>0</v>
      </c>
      <c r="U14" s="39"/>
      <c r="V14" s="35"/>
      <c r="W14" s="36">
        <f t="shared" si="8"/>
        <v>0</v>
      </c>
      <c r="X14" s="37"/>
      <c r="Y14" s="38">
        <f t="shared" si="9"/>
        <v>0</v>
      </c>
      <c r="Z14" s="37"/>
      <c r="AA14" s="38">
        <f t="shared" si="10"/>
        <v>0</v>
      </c>
      <c r="AB14" s="39"/>
      <c r="AC14" s="35"/>
      <c r="AD14" s="36">
        <f t="shared" si="11"/>
        <v>0</v>
      </c>
      <c r="AE14" s="37"/>
      <c r="AF14" s="38">
        <f t="shared" si="12"/>
        <v>0</v>
      </c>
      <c r="AG14" s="37"/>
      <c r="AH14" s="38">
        <f t="shared" si="13"/>
        <v>0</v>
      </c>
      <c r="AI14" s="39"/>
      <c r="AJ14" s="35"/>
      <c r="AK14" s="36">
        <f t="shared" si="14"/>
        <v>0</v>
      </c>
      <c r="AL14" s="37"/>
      <c r="AM14" s="38">
        <f t="shared" si="15"/>
        <v>0</v>
      </c>
      <c r="AN14" s="37"/>
      <c r="AO14" s="38">
        <f t="shared" si="16"/>
        <v>0</v>
      </c>
      <c r="AP14" s="39"/>
      <c r="AQ14" s="35"/>
      <c r="AR14" s="36">
        <f t="shared" si="17"/>
        <v>0</v>
      </c>
      <c r="AS14" s="37"/>
      <c r="AT14" s="38">
        <f t="shared" si="18"/>
        <v>0</v>
      </c>
      <c r="AU14" s="37"/>
      <c r="AV14" s="38">
        <f t="shared" si="19"/>
        <v>0</v>
      </c>
      <c r="AW14" s="39"/>
      <c r="AX14" s="35"/>
      <c r="AY14" s="36">
        <f t="shared" si="20"/>
        <v>0</v>
      </c>
      <c r="AZ14" s="37"/>
      <c r="BA14" s="38">
        <f t="shared" si="21"/>
        <v>0</v>
      </c>
      <c r="BB14" s="37"/>
      <c r="BC14" s="38">
        <f t="shared" si="22"/>
        <v>0</v>
      </c>
      <c r="BD14" s="39"/>
      <c r="BE14" s="35"/>
      <c r="BF14" s="36">
        <f t="shared" si="23"/>
        <v>0</v>
      </c>
      <c r="BG14" s="37"/>
      <c r="BH14" s="38">
        <f t="shared" si="24"/>
        <v>0</v>
      </c>
      <c r="BI14" s="37"/>
      <c r="BJ14" s="38">
        <f t="shared" si="25"/>
        <v>0</v>
      </c>
      <c r="BK14" s="40">
        <f t="shared" si="0"/>
        <v>0</v>
      </c>
      <c r="BL14" s="40">
        <f t="shared" si="1"/>
        <v>0</v>
      </c>
      <c r="BM14" s="40">
        <f t="shared" si="26"/>
        <v>0</v>
      </c>
      <c r="BN14" s="15">
        <f t="shared" si="27"/>
        <v>0</v>
      </c>
    </row>
    <row r="15" spans="1:66" x14ac:dyDescent="0.25">
      <c r="A15" s="1" t="s">
        <v>32</v>
      </c>
      <c r="C15" s="41"/>
      <c r="D15" s="52"/>
      <c r="E15" s="33"/>
      <c r="F15" s="33">
        <v>0</v>
      </c>
      <c r="G15" s="39"/>
      <c r="H15" s="35"/>
      <c r="I15" s="36">
        <f t="shared" si="2"/>
        <v>0</v>
      </c>
      <c r="J15" s="37"/>
      <c r="K15" s="38">
        <f t="shared" si="3"/>
        <v>0</v>
      </c>
      <c r="L15" s="37"/>
      <c r="M15" s="38">
        <f t="shared" si="4"/>
        <v>0</v>
      </c>
      <c r="N15" s="39"/>
      <c r="O15" s="35"/>
      <c r="P15" s="36">
        <f t="shared" si="5"/>
        <v>0</v>
      </c>
      <c r="Q15" s="37"/>
      <c r="R15" s="38">
        <f t="shared" si="6"/>
        <v>0</v>
      </c>
      <c r="S15" s="37"/>
      <c r="T15" s="38">
        <f t="shared" si="7"/>
        <v>0</v>
      </c>
      <c r="U15" s="39"/>
      <c r="V15" s="35"/>
      <c r="W15" s="36">
        <f t="shared" si="8"/>
        <v>0</v>
      </c>
      <c r="X15" s="37"/>
      <c r="Y15" s="38">
        <f t="shared" si="9"/>
        <v>0</v>
      </c>
      <c r="Z15" s="37"/>
      <c r="AA15" s="38">
        <f t="shared" si="10"/>
        <v>0</v>
      </c>
      <c r="AB15" s="39"/>
      <c r="AC15" s="35"/>
      <c r="AD15" s="36">
        <f t="shared" si="11"/>
        <v>0</v>
      </c>
      <c r="AE15" s="37"/>
      <c r="AF15" s="38">
        <f t="shared" si="12"/>
        <v>0</v>
      </c>
      <c r="AG15" s="37"/>
      <c r="AH15" s="38">
        <f t="shared" si="13"/>
        <v>0</v>
      </c>
      <c r="AI15" s="39"/>
      <c r="AJ15" s="35"/>
      <c r="AK15" s="36">
        <f t="shared" si="14"/>
        <v>0</v>
      </c>
      <c r="AL15" s="37"/>
      <c r="AM15" s="38">
        <f t="shared" si="15"/>
        <v>0</v>
      </c>
      <c r="AN15" s="37"/>
      <c r="AO15" s="38">
        <f t="shared" si="16"/>
        <v>0</v>
      </c>
      <c r="AP15" s="39"/>
      <c r="AQ15" s="35"/>
      <c r="AR15" s="36">
        <f t="shared" si="17"/>
        <v>0</v>
      </c>
      <c r="AS15" s="37"/>
      <c r="AT15" s="38">
        <f t="shared" si="18"/>
        <v>0</v>
      </c>
      <c r="AU15" s="37"/>
      <c r="AV15" s="38">
        <f t="shared" si="19"/>
        <v>0</v>
      </c>
      <c r="AW15" s="39"/>
      <c r="AX15" s="35"/>
      <c r="AY15" s="36">
        <f t="shared" si="20"/>
        <v>0</v>
      </c>
      <c r="AZ15" s="37"/>
      <c r="BA15" s="38">
        <f t="shared" si="21"/>
        <v>0</v>
      </c>
      <c r="BB15" s="37"/>
      <c r="BC15" s="38">
        <f t="shared" si="22"/>
        <v>0</v>
      </c>
      <c r="BD15" s="39"/>
      <c r="BE15" s="35"/>
      <c r="BF15" s="36">
        <f t="shared" si="23"/>
        <v>0</v>
      </c>
      <c r="BG15" s="37"/>
      <c r="BH15" s="38">
        <f t="shared" si="24"/>
        <v>0</v>
      </c>
      <c r="BI15" s="37"/>
      <c r="BJ15" s="38">
        <f t="shared" si="25"/>
        <v>0</v>
      </c>
      <c r="BK15" s="40">
        <f t="shared" si="0"/>
        <v>0</v>
      </c>
      <c r="BL15" s="40">
        <f t="shared" si="1"/>
        <v>0</v>
      </c>
      <c r="BM15" s="40">
        <f t="shared" si="26"/>
        <v>0</v>
      </c>
      <c r="BN15" s="15">
        <f t="shared" si="27"/>
        <v>0</v>
      </c>
    </row>
    <row r="16" spans="1:66" x14ac:dyDescent="0.25">
      <c r="B16" s="45" t="s">
        <v>33</v>
      </c>
      <c r="C16" s="41" t="s">
        <v>34</v>
      </c>
      <c r="D16" s="52">
        <v>4254.8440000000001</v>
      </c>
      <c r="E16" s="33">
        <v>240</v>
      </c>
      <c r="F16" s="33">
        <v>1021162.56</v>
      </c>
      <c r="G16" s="39"/>
      <c r="H16" s="35"/>
      <c r="I16" s="36">
        <f t="shared" si="2"/>
        <v>0</v>
      </c>
      <c r="J16" s="37"/>
      <c r="K16" s="38">
        <f t="shared" si="3"/>
        <v>0</v>
      </c>
      <c r="L16" s="37"/>
      <c r="M16" s="38">
        <f t="shared" si="4"/>
        <v>0</v>
      </c>
      <c r="N16" s="39"/>
      <c r="O16" s="35"/>
      <c r="P16" s="36">
        <f t="shared" si="5"/>
        <v>0</v>
      </c>
      <c r="Q16" s="37"/>
      <c r="R16" s="38">
        <f t="shared" si="6"/>
        <v>0</v>
      </c>
      <c r="S16" s="37"/>
      <c r="T16" s="38">
        <f t="shared" si="7"/>
        <v>0</v>
      </c>
      <c r="U16" s="39"/>
      <c r="V16" s="35">
        <v>0.6</v>
      </c>
      <c r="W16" s="36">
        <f t="shared" si="8"/>
        <v>612697.53599999996</v>
      </c>
      <c r="X16" s="37">
        <v>0.5</v>
      </c>
      <c r="Y16" s="38">
        <f t="shared" si="9"/>
        <v>306348.76799999998</v>
      </c>
      <c r="Z16" s="37">
        <v>0.5</v>
      </c>
      <c r="AA16" s="38">
        <f t="shared" si="10"/>
        <v>306348.76799999998</v>
      </c>
      <c r="AB16" s="39"/>
      <c r="AC16" s="35">
        <v>0.2</v>
      </c>
      <c r="AD16" s="36">
        <f t="shared" si="11"/>
        <v>204232.51200000002</v>
      </c>
      <c r="AE16" s="37">
        <v>0.5</v>
      </c>
      <c r="AF16" s="38">
        <f t="shared" si="12"/>
        <v>102116.25600000001</v>
      </c>
      <c r="AG16" s="37">
        <v>0.5</v>
      </c>
      <c r="AH16" s="38">
        <f t="shared" si="13"/>
        <v>102116.25600000001</v>
      </c>
      <c r="AI16" s="39"/>
      <c r="AJ16" s="35">
        <v>0.15</v>
      </c>
      <c r="AK16" s="36">
        <f t="shared" si="14"/>
        <v>153174.38399999999</v>
      </c>
      <c r="AL16" s="37">
        <v>0.5</v>
      </c>
      <c r="AM16" s="38">
        <f t="shared" si="15"/>
        <v>76587.191999999995</v>
      </c>
      <c r="AN16" s="37">
        <v>0.5</v>
      </c>
      <c r="AO16" s="38">
        <f t="shared" si="16"/>
        <v>76587.191999999995</v>
      </c>
      <c r="AP16" s="39"/>
      <c r="AQ16" s="35">
        <v>0.05</v>
      </c>
      <c r="AR16" s="36">
        <f t="shared" si="17"/>
        <v>51058.128000000004</v>
      </c>
      <c r="AS16" s="37">
        <v>0.5</v>
      </c>
      <c r="AT16" s="38">
        <f t="shared" si="18"/>
        <v>25529.064000000002</v>
      </c>
      <c r="AU16" s="37">
        <v>0.5</v>
      </c>
      <c r="AV16" s="38">
        <f t="shared" si="19"/>
        <v>25529.064000000002</v>
      </c>
      <c r="AW16" s="39"/>
      <c r="AX16" s="35"/>
      <c r="AY16" s="36">
        <f t="shared" si="20"/>
        <v>0</v>
      </c>
      <c r="AZ16" s="37"/>
      <c r="BA16" s="38">
        <f t="shared" si="21"/>
        <v>0</v>
      </c>
      <c r="BB16" s="37"/>
      <c r="BC16" s="38">
        <f t="shared" si="22"/>
        <v>0</v>
      </c>
      <c r="BD16" s="39"/>
      <c r="BE16" s="35"/>
      <c r="BF16" s="36">
        <f t="shared" si="23"/>
        <v>0</v>
      </c>
      <c r="BG16" s="37"/>
      <c r="BH16" s="38">
        <f t="shared" si="24"/>
        <v>0</v>
      </c>
      <c r="BI16" s="37"/>
      <c r="BJ16" s="38">
        <f t="shared" si="25"/>
        <v>0</v>
      </c>
      <c r="BK16" s="40">
        <f t="shared" si="0"/>
        <v>1021162.56</v>
      </c>
      <c r="BL16" s="40">
        <f t="shared" si="1"/>
        <v>1021162.5599999999</v>
      </c>
      <c r="BM16" s="40">
        <f t="shared" si="26"/>
        <v>1021162.5599999998</v>
      </c>
      <c r="BN16" s="15">
        <f t="shared" si="27"/>
        <v>0</v>
      </c>
    </row>
    <row r="17" spans="1:66" x14ac:dyDescent="0.25">
      <c r="B17" s="45" t="s">
        <v>35</v>
      </c>
      <c r="C17" s="41" t="s">
        <v>34</v>
      </c>
      <c r="D17" s="52">
        <v>4254.8440000000001</v>
      </c>
      <c r="E17" s="33">
        <v>-180.52631578947367</v>
      </c>
      <c r="F17" s="33">
        <v>-768111.31157894735</v>
      </c>
      <c r="G17" s="39"/>
      <c r="H17" s="35"/>
      <c r="I17" s="36">
        <f t="shared" si="2"/>
        <v>0</v>
      </c>
      <c r="J17" s="37"/>
      <c r="K17" s="38">
        <f t="shared" si="3"/>
        <v>0</v>
      </c>
      <c r="L17" s="37"/>
      <c r="M17" s="38">
        <f t="shared" si="4"/>
        <v>0</v>
      </c>
      <c r="N17" s="39"/>
      <c r="O17" s="35"/>
      <c r="P17" s="36">
        <f t="shared" si="5"/>
        <v>0</v>
      </c>
      <c r="Q17" s="37"/>
      <c r="R17" s="38">
        <f t="shared" si="6"/>
        <v>0</v>
      </c>
      <c r="S17" s="37"/>
      <c r="T17" s="38">
        <f t="shared" si="7"/>
        <v>0</v>
      </c>
      <c r="U17" s="39"/>
      <c r="V17" s="35">
        <v>0.6</v>
      </c>
      <c r="W17" s="36">
        <f t="shared" si="8"/>
        <v>-460866.78694736841</v>
      </c>
      <c r="X17" s="37">
        <v>0.5</v>
      </c>
      <c r="Y17" s="38">
        <f t="shared" si="9"/>
        <v>-230433.39347368421</v>
      </c>
      <c r="Z17" s="37">
        <v>0.5</v>
      </c>
      <c r="AA17" s="38">
        <f t="shared" si="10"/>
        <v>-230433.39347368421</v>
      </c>
      <c r="AB17" s="39"/>
      <c r="AC17" s="35">
        <v>0.25</v>
      </c>
      <c r="AD17" s="36">
        <f t="shared" si="11"/>
        <v>-192027.82789473684</v>
      </c>
      <c r="AE17" s="37">
        <v>0.5</v>
      </c>
      <c r="AF17" s="38">
        <f t="shared" si="12"/>
        <v>-96013.913947368419</v>
      </c>
      <c r="AG17" s="37">
        <v>0.5</v>
      </c>
      <c r="AH17" s="38">
        <f t="shared" si="13"/>
        <v>-96013.913947368419</v>
      </c>
      <c r="AI17" s="39"/>
      <c r="AJ17" s="35">
        <v>0.15</v>
      </c>
      <c r="AK17" s="36">
        <f t="shared" si="14"/>
        <v>-115216.6967368421</v>
      </c>
      <c r="AL17" s="37">
        <v>0.5</v>
      </c>
      <c r="AM17" s="38">
        <f t="shared" si="15"/>
        <v>-57608.348368421051</v>
      </c>
      <c r="AN17" s="37">
        <v>0.5</v>
      </c>
      <c r="AO17" s="38">
        <f t="shared" si="16"/>
        <v>-57608.348368421051</v>
      </c>
      <c r="AP17" s="39"/>
      <c r="AQ17" s="35"/>
      <c r="AR17" s="36">
        <f t="shared" si="17"/>
        <v>0</v>
      </c>
      <c r="AS17" s="51"/>
      <c r="AT17" s="38">
        <f t="shared" si="18"/>
        <v>0</v>
      </c>
      <c r="AU17" s="37"/>
      <c r="AV17" s="38">
        <f t="shared" si="19"/>
        <v>0</v>
      </c>
      <c r="AW17" s="39"/>
      <c r="AX17" s="35"/>
      <c r="AY17" s="36">
        <f t="shared" si="20"/>
        <v>0</v>
      </c>
      <c r="AZ17" s="37"/>
      <c r="BA17" s="38">
        <f t="shared" si="21"/>
        <v>0</v>
      </c>
      <c r="BB17" s="37"/>
      <c r="BC17" s="38">
        <f t="shared" si="22"/>
        <v>0</v>
      </c>
      <c r="BD17" s="39"/>
      <c r="BE17" s="35"/>
      <c r="BF17" s="36">
        <f t="shared" si="23"/>
        <v>0</v>
      </c>
      <c r="BG17" s="37"/>
      <c r="BH17" s="38">
        <f t="shared" si="24"/>
        <v>0</v>
      </c>
      <c r="BI17" s="37"/>
      <c r="BJ17" s="38">
        <f t="shared" si="25"/>
        <v>0</v>
      </c>
      <c r="BK17" s="40">
        <f t="shared" si="0"/>
        <v>-768111.31157894735</v>
      </c>
      <c r="BL17" s="40">
        <f t="shared" si="1"/>
        <v>-768111.31157894735</v>
      </c>
      <c r="BM17" s="40">
        <f t="shared" si="26"/>
        <v>-768111.31157894735</v>
      </c>
      <c r="BN17" s="15">
        <f t="shared" si="27"/>
        <v>0</v>
      </c>
    </row>
    <row r="18" spans="1:66" x14ac:dyDescent="0.25">
      <c r="B18" s="45" t="s">
        <v>36</v>
      </c>
      <c r="C18" s="41" t="s">
        <v>37</v>
      </c>
      <c r="D18" s="52">
        <v>38293.595999999998</v>
      </c>
      <c r="E18" s="46">
        <v>-0.39039473684210513</v>
      </c>
      <c r="F18" s="33">
        <v>-14949.618333157889</v>
      </c>
      <c r="G18" s="39"/>
      <c r="H18" s="35"/>
      <c r="I18" s="36">
        <f t="shared" si="2"/>
        <v>0</v>
      </c>
      <c r="J18" s="37"/>
      <c r="K18" s="38">
        <f t="shared" si="3"/>
        <v>0</v>
      </c>
      <c r="L18" s="37"/>
      <c r="M18" s="38">
        <f t="shared" si="4"/>
        <v>0</v>
      </c>
      <c r="N18" s="39"/>
      <c r="O18" s="35"/>
      <c r="P18" s="36">
        <f t="shared" si="5"/>
        <v>0</v>
      </c>
      <c r="Q18" s="37"/>
      <c r="R18" s="38">
        <f t="shared" si="6"/>
        <v>0</v>
      </c>
      <c r="S18" s="37"/>
      <c r="T18" s="38">
        <f t="shared" si="7"/>
        <v>0</v>
      </c>
      <c r="U18" s="39"/>
      <c r="V18" s="35"/>
      <c r="W18" s="36">
        <f t="shared" si="8"/>
        <v>0</v>
      </c>
      <c r="X18" s="37"/>
      <c r="Y18" s="38">
        <f t="shared" si="9"/>
        <v>0</v>
      </c>
      <c r="Z18" s="37"/>
      <c r="AA18" s="38">
        <f t="shared" si="10"/>
        <v>0</v>
      </c>
      <c r="AB18" s="39"/>
      <c r="AC18" s="35">
        <v>1</v>
      </c>
      <c r="AD18" s="36">
        <f t="shared" si="11"/>
        <v>-14949.618333157889</v>
      </c>
      <c r="AE18" s="37">
        <v>0.5</v>
      </c>
      <c r="AF18" s="38">
        <f t="shared" si="12"/>
        <v>-7474.8091665789443</v>
      </c>
      <c r="AG18" s="37">
        <v>0.5</v>
      </c>
      <c r="AH18" s="38">
        <f t="shared" si="13"/>
        <v>-7474.8091665789443</v>
      </c>
      <c r="AI18" s="39"/>
      <c r="AJ18" s="35"/>
      <c r="AK18" s="36">
        <f t="shared" si="14"/>
        <v>0</v>
      </c>
      <c r="AL18" s="37"/>
      <c r="AM18" s="38">
        <f t="shared" si="15"/>
        <v>0</v>
      </c>
      <c r="AN18" s="37"/>
      <c r="AO18" s="38">
        <f t="shared" si="16"/>
        <v>0</v>
      </c>
      <c r="AP18" s="39"/>
      <c r="AQ18" s="35"/>
      <c r="AR18" s="36">
        <f t="shared" si="17"/>
        <v>0</v>
      </c>
      <c r="AS18" s="37"/>
      <c r="AT18" s="38">
        <f t="shared" si="18"/>
        <v>0</v>
      </c>
      <c r="AU18" s="37"/>
      <c r="AV18" s="38">
        <f t="shared" si="19"/>
        <v>0</v>
      </c>
      <c r="AW18" s="39"/>
      <c r="AX18" s="35"/>
      <c r="AY18" s="36">
        <f t="shared" si="20"/>
        <v>0</v>
      </c>
      <c r="AZ18" s="37"/>
      <c r="BA18" s="38">
        <f t="shared" si="21"/>
        <v>0</v>
      </c>
      <c r="BB18" s="37"/>
      <c r="BC18" s="38">
        <f t="shared" si="22"/>
        <v>0</v>
      </c>
      <c r="BD18" s="39"/>
      <c r="BE18" s="35"/>
      <c r="BF18" s="36">
        <f t="shared" si="23"/>
        <v>0</v>
      </c>
      <c r="BG18" s="37"/>
      <c r="BH18" s="38">
        <f t="shared" si="24"/>
        <v>0</v>
      </c>
      <c r="BI18" s="37"/>
      <c r="BJ18" s="38">
        <f t="shared" si="25"/>
        <v>0</v>
      </c>
      <c r="BK18" s="40">
        <f t="shared" si="0"/>
        <v>-14949.618333157889</v>
      </c>
      <c r="BL18" s="40">
        <f t="shared" si="1"/>
        <v>-14949.618333157889</v>
      </c>
      <c r="BM18" s="40">
        <f t="shared" si="26"/>
        <v>-14949.618333157889</v>
      </c>
      <c r="BN18" s="15">
        <f t="shared" si="27"/>
        <v>0</v>
      </c>
    </row>
    <row r="19" spans="1:66" x14ac:dyDescent="0.25">
      <c r="B19" s="45" t="s">
        <v>38</v>
      </c>
      <c r="C19" s="41" t="s">
        <v>37</v>
      </c>
      <c r="D19" s="52">
        <v>361661.74</v>
      </c>
      <c r="E19" s="46">
        <v>-0.37018461538461545</v>
      </c>
      <c r="F19" s="33">
        <v>-133881.61212123078</v>
      </c>
      <c r="G19" s="39"/>
      <c r="H19" s="35"/>
      <c r="I19" s="36">
        <f t="shared" si="2"/>
        <v>0</v>
      </c>
      <c r="J19" s="37"/>
      <c r="K19" s="38">
        <f t="shared" si="3"/>
        <v>0</v>
      </c>
      <c r="L19" s="37"/>
      <c r="M19" s="38">
        <f t="shared" si="4"/>
        <v>0</v>
      </c>
      <c r="N19" s="39"/>
      <c r="O19" s="35"/>
      <c r="P19" s="36">
        <f t="shared" si="5"/>
        <v>0</v>
      </c>
      <c r="Q19" s="37"/>
      <c r="R19" s="38">
        <f t="shared" si="6"/>
        <v>0</v>
      </c>
      <c r="S19" s="37"/>
      <c r="T19" s="38">
        <f t="shared" si="7"/>
        <v>0</v>
      </c>
      <c r="U19" s="39"/>
      <c r="V19" s="35"/>
      <c r="W19" s="36">
        <f t="shared" si="8"/>
        <v>0</v>
      </c>
      <c r="X19" s="37"/>
      <c r="Y19" s="38">
        <f t="shared" si="9"/>
        <v>0</v>
      </c>
      <c r="Z19" s="37"/>
      <c r="AA19" s="38">
        <f t="shared" si="10"/>
        <v>0</v>
      </c>
      <c r="AB19" s="39"/>
      <c r="AC19" s="35">
        <v>0.2</v>
      </c>
      <c r="AD19" s="36">
        <f t="shared" si="11"/>
        <v>-26776.322424246158</v>
      </c>
      <c r="AE19" s="37">
        <v>0.5</v>
      </c>
      <c r="AF19" s="38">
        <f t="shared" si="12"/>
        <v>-13388.161212123079</v>
      </c>
      <c r="AG19" s="37">
        <v>0.5</v>
      </c>
      <c r="AH19" s="38">
        <f t="shared" si="13"/>
        <v>-13388.161212123079</v>
      </c>
      <c r="AI19" s="39"/>
      <c r="AJ19" s="35"/>
      <c r="AK19" s="36">
        <f t="shared" si="14"/>
        <v>0</v>
      </c>
      <c r="AL19" s="37"/>
      <c r="AM19" s="38">
        <f t="shared" si="15"/>
        <v>0</v>
      </c>
      <c r="AN19" s="37"/>
      <c r="AO19" s="38">
        <f t="shared" si="16"/>
        <v>0</v>
      </c>
      <c r="AP19" s="39"/>
      <c r="AQ19" s="35">
        <v>0.8</v>
      </c>
      <c r="AR19" s="36">
        <f t="shared" si="17"/>
        <v>-107105.28969698463</v>
      </c>
      <c r="AS19" s="37">
        <v>0.5</v>
      </c>
      <c r="AT19" s="38">
        <f t="shared" si="18"/>
        <v>-53552.644848492317</v>
      </c>
      <c r="AU19" s="37">
        <v>0.5</v>
      </c>
      <c r="AV19" s="38">
        <f t="shared" si="19"/>
        <v>-53552.644848492317</v>
      </c>
      <c r="AW19" s="39"/>
      <c r="AX19" s="35"/>
      <c r="AY19" s="36">
        <f t="shared" si="20"/>
        <v>0</v>
      </c>
      <c r="AZ19" s="37"/>
      <c r="BA19" s="38">
        <f t="shared" si="21"/>
        <v>0</v>
      </c>
      <c r="BB19" s="37"/>
      <c r="BC19" s="38">
        <f t="shared" si="22"/>
        <v>0</v>
      </c>
      <c r="BD19" s="39"/>
      <c r="BE19" s="35"/>
      <c r="BF19" s="36">
        <f t="shared" si="23"/>
        <v>0</v>
      </c>
      <c r="BG19" s="37"/>
      <c r="BH19" s="38">
        <f t="shared" si="24"/>
        <v>0</v>
      </c>
      <c r="BI19" s="37"/>
      <c r="BJ19" s="38">
        <f t="shared" si="25"/>
        <v>0</v>
      </c>
      <c r="BK19" s="40">
        <f t="shared" si="0"/>
        <v>-133881.61212123078</v>
      </c>
      <c r="BL19" s="40">
        <f t="shared" si="1"/>
        <v>-133881.61212123081</v>
      </c>
      <c r="BM19" s="40">
        <f t="shared" si="26"/>
        <v>-133881.61212123081</v>
      </c>
      <c r="BN19" s="15">
        <f t="shared" si="27"/>
        <v>0</v>
      </c>
    </row>
    <row r="20" spans="1:66" x14ac:dyDescent="0.25">
      <c r="B20" s="45" t="s">
        <v>39</v>
      </c>
      <c r="C20" s="41" t="s">
        <v>37</v>
      </c>
      <c r="D20" s="52">
        <v>51058.127999999997</v>
      </c>
      <c r="E20" s="46">
        <v>-0.18394000674081565</v>
      </c>
      <c r="F20" s="33">
        <v>-9391.6324084934276</v>
      </c>
      <c r="G20" s="39"/>
      <c r="H20" s="35"/>
      <c r="I20" s="36">
        <f t="shared" si="2"/>
        <v>0</v>
      </c>
      <c r="J20" s="37"/>
      <c r="K20" s="38">
        <f t="shared" si="3"/>
        <v>0</v>
      </c>
      <c r="L20" s="37"/>
      <c r="M20" s="38">
        <f t="shared" si="4"/>
        <v>0</v>
      </c>
      <c r="N20" s="39"/>
      <c r="O20" s="35"/>
      <c r="P20" s="36">
        <f t="shared" si="5"/>
        <v>0</v>
      </c>
      <c r="Q20" s="37"/>
      <c r="R20" s="38">
        <f t="shared" si="6"/>
        <v>0</v>
      </c>
      <c r="S20" s="37"/>
      <c r="T20" s="38">
        <f t="shared" si="7"/>
        <v>0</v>
      </c>
      <c r="U20" s="39"/>
      <c r="V20" s="35"/>
      <c r="W20" s="36">
        <f t="shared" si="8"/>
        <v>0</v>
      </c>
      <c r="X20" s="37"/>
      <c r="Y20" s="38">
        <f t="shared" si="9"/>
        <v>0</v>
      </c>
      <c r="Z20" s="37"/>
      <c r="AA20" s="38">
        <f t="shared" si="10"/>
        <v>0</v>
      </c>
      <c r="AB20" s="39"/>
      <c r="AC20" s="35">
        <v>1</v>
      </c>
      <c r="AD20" s="36">
        <f t="shared" si="11"/>
        <v>-9391.6324084934276</v>
      </c>
      <c r="AE20" s="37">
        <v>0.5</v>
      </c>
      <c r="AF20" s="38">
        <f t="shared" si="12"/>
        <v>-4695.8162042467138</v>
      </c>
      <c r="AG20" s="37">
        <v>0.5</v>
      </c>
      <c r="AH20" s="38">
        <f t="shared" si="13"/>
        <v>-4695.8162042467138</v>
      </c>
      <c r="AI20" s="39"/>
      <c r="AJ20" s="35"/>
      <c r="AK20" s="36">
        <f t="shared" si="14"/>
        <v>0</v>
      </c>
      <c r="AL20" s="37"/>
      <c r="AM20" s="38">
        <f t="shared" si="15"/>
        <v>0</v>
      </c>
      <c r="AN20" s="37"/>
      <c r="AO20" s="38">
        <f t="shared" si="16"/>
        <v>0</v>
      </c>
      <c r="AP20" s="39"/>
      <c r="AQ20" s="35"/>
      <c r="AR20" s="36">
        <f t="shared" si="17"/>
        <v>0</v>
      </c>
      <c r="AS20" s="37"/>
      <c r="AT20" s="38">
        <f t="shared" si="18"/>
        <v>0</v>
      </c>
      <c r="AU20" s="37"/>
      <c r="AV20" s="38">
        <f t="shared" si="19"/>
        <v>0</v>
      </c>
      <c r="AW20" s="39"/>
      <c r="AX20" s="35"/>
      <c r="AY20" s="36">
        <f t="shared" si="20"/>
        <v>0</v>
      </c>
      <c r="AZ20" s="37"/>
      <c r="BA20" s="38">
        <f t="shared" si="21"/>
        <v>0</v>
      </c>
      <c r="BB20" s="37"/>
      <c r="BC20" s="38">
        <f t="shared" si="22"/>
        <v>0</v>
      </c>
      <c r="BD20" s="39"/>
      <c r="BE20" s="35"/>
      <c r="BF20" s="36">
        <f t="shared" si="23"/>
        <v>0</v>
      </c>
      <c r="BG20" s="37"/>
      <c r="BH20" s="38">
        <f t="shared" si="24"/>
        <v>0</v>
      </c>
      <c r="BI20" s="37"/>
      <c r="BJ20" s="38">
        <f t="shared" si="25"/>
        <v>0</v>
      </c>
      <c r="BK20" s="40">
        <f t="shared" si="0"/>
        <v>-9391.6324084934276</v>
      </c>
      <c r="BL20" s="40">
        <f t="shared" si="1"/>
        <v>-9391.6324084934276</v>
      </c>
      <c r="BM20" s="40">
        <f t="shared" si="26"/>
        <v>-9391.6324084934276</v>
      </c>
      <c r="BN20" s="15">
        <f t="shared" si="27"/>
        <v>0</v>
      </c>
    </row>
    <row r="21" spans="1:66" x14ac:dyDescent="0.25">
      <c r="B21" s="45" t="s">
        <v>40</v>
      </c>
      <c r="C21" s="41" t="s">
        <v>41</v>
      </c>
      <c r="D21" s="52">
        <v>370.37037037037038</v>
      </c>
      <c r="E21" s="33">
        <v>105</v>
      </c>
      <c r="F21" s="33">
        <v>38888.888888888891</v>
      </c>
      <c r="G21" s="39"/>
      <c r="H21" s="35"/>
      <c r="I21" s="36">
        <f t="shared" si="2"/>
        <v>0</v>
      </c>
      <c r="J21" s="37"/>
      <c r="K21" s="38">
        <f t="shared" si="3"/>
        <v>0</v>
      </c>
      <c r="L21" s="37"/>
      <c r="M21" s="38">
        <f t="shared" si="4"/>
        <v>0</v>
      </c>
      <c r="N21" s="39"/>
      <c r="O21" s="35"/>
      <c r="P21" s="36">
        <f t="shared" si="5"/>
        <v>0</v>
      </c>
      <c r="Q21" s="37"/>
      <c r="R21" s="38">
        <f t="shared" si="6"/>
        <v>0</v>
      </c>
      <c r="S21" s="37"/>
      <c r="T21" s="38">
        <f t="shared" si="7"/>
        <v>0</v>
      </c>
      <c r="U21" s="39"/>
      <c r="V21" s="35">
        <v>1</v>
      </c>
      <c r="W21" s="36">
        <f t="shared" si="8"/>
        <v>38888.888888888891</v>
      </c>
      <c r="X21" s="37">
        <v>0.5</v>
      </c>
      <c r="Y21" s="38">
        <f t="shared" si="9"/>
        <v>19444.444444444445</v>
      </c>
      <c r="Z21" s="37">
        <v>0.5</v>
      </c>
      <c r="AA21" s="38">
        <f t="shared" si="10"/>
        <v>19444.444444444445</v>
      </c>
      <c r="AB21" s="39"/>
      <c r="AC21" s="35"/>
      <c r="AD21" s="36">
        <f t="shared" si="11"/>
        <v>0</v>
      </c>
      <c r="AE21" s="37"/>
      <c r="AF21" s="38">
        <f t="shared" si="12"/>
        <v>0</v>
      </c>
      <c r="AG21" s="37"/>
      <c r="AH21" s="38">
        <f t="shared" si="13"/>
        <v>0</v>
      </c>
      <c r="AI21" s="39"/>
      <c r="AJ21" s="35"/>
      <c r="AK21" s="36">
        <f t="shared" si="14"/>
        <v>0</v>
      </c>
      <c r="AL21" s="37"/>
      <c r="AM21" s="38">
        <f t="shared" si="15"/>
        <v>0</v>
      </c>
      <c r="AN21" s="37"/>
      <c r="AO21" s="38">
        <f t="shared" si="16"/>
        <v>0</v>
      </c>
      <c r="AP21" s="39"/>
      <c r="AQ21" s="35"/>
      <c r="AR21" s="36">
        <f t="shared" si="17"/>
        <v>0</v>
      </c>
      <c r="AS21" s="37"/>
      <c r="AT21" s="38">
        <f t="shared" si="18"/>
        <v>0</v>
      </c>
      <c r="AU21" s="37"/>
      <c r="AV21" s="38">
        <f t="shared" si="19"/>
        <v>0</v>
      </c>
      <c r="AW21" s="39"/>
      <c r="AX21" s="35"/>
      <c r="AY21" s="36">
        <f t="shared" si="20"/>
        <v>0</v>
      </c>
      <c r="AZ21" s="37"/>
      <c r="BA21" s="38">
        <f t="shared" si="21"/>
        <v>0</v>
      </c>
      <c r="BB21" s="37"/>
      <c r="BC21" s="38">
        <f t="shared" si="22"/>
        <v>0</v>
      </c>
      <c r="BD21" s="39"/>
      <c r="BE21" s="35"/>
      <c r="BF21" s="36">
        <f t="shared" si="23"/>
        <v>0</v>
      </c>
      <c r="BG21" s="37"/>
      <c r="BH21" s="38">
        <f t="shared" si="24"/>
        <v>0</v>
      </c>
      <c r="BI21" s="37"/>
      <c r="BJ21" s="38">
        <f t="shared" si="25"/>
        <v>0</v>
      </c>
      <c r="BK21" s="40">
        <f t="shared" si="0"/>
        <v>38888.888888888891</v>
      </c>
      <c r="BL21" s="40">
        <f t="shared" si="1"/>
        <v>38888.888888888891</v>
      </c>
      <c r="BM21" s="40">
        <f t="shared" si="26"/>
        <v>38888.888888888891</v>
      </c>
      <c r="BN21" s="15">
        <f t="shared" si="27"/>
        <v>0</v>
      </c>
    </row>
    <row r="22" spans="1:66" x14ac:dyDescent="0.25">
      <c r="B22" s="47" t="s">
        <v>172</v>
      </c>
      <c r="C22" s="41" t="s">
        <v>37</v>
      </c>
      <c r="D22" s="52">
        <v>60000</v>
      </c>
      <c r="E22" s="46">
        <v>-1.5825</v>
      </c>
      <c r="F22" s="33">
        <v>-94950</v>
      </c>
      <c r="G22" s="39"/>
      <c r="H22" s="35"/>
      <c r="I22" s="36">
        <f t="shared" si="2"/>
        <v>0</v>
      </c>
      <c r="J22" s="37"/>
      <c r="K22" s="38">
        <f t="shared" si="3"/>
        <v>0</v>
      </c>
      <c r="L22" s="37"/>
      <c r="M22" s="38">
        <f t="shared" si="4"/>
        <v>0</v>
      </c>
      <c r="N22" s="39"/>
      <c r="O22" s="35"/>
      <c r="P22" s="36">
        <f t="shared" si="5"/>
        <v>0</v>
      </c>
      <c r="Q22" s="37"/>
      <c r="R22" s="38">
        <f t="shared" si="6"/>
        <v>0</v>
      </c>
      <c r="S22" s="37"/>
      <c r="T22" s="38">
        <f t="shared" si="7"/>
        <v>0</v>
      </c>
      <c r="U22" s="39"/>
      <c r="V22" s="35"/>
      <c r="W22" s="36">
        <f t="shared" si="8"/>
        <v>0</v>
      </c>
      <c r="X22" s="37"/>
      <c r="Y22" s="38">
        <f t="shared" si="9"/>
        <v>0</v>
      </c>
      <c r="Z22" s="37"/>
      <c r="AA22" s="38">
        <f t="shared" si="10"/>
        <v>0</v>
      </c>
      <c r="AB22" s="39"/>
      <c r="AC22" s="35">
        <v>0.1</v>
      </c>
      <c r="AD22" s="36">
        <f t="shared" si="11"/>
        <v>-9495</v>
      </c>
      <c r="AE22" s="37">
        <v>0.5</v>
      </c>
      <c r="AF22" s="38">
        <f t="shared" si="12"/>
        <v>-4747.5</v>
      </c>
      <c r="AG22" s="37">
        <v>0.5</v>
      </c>
      <c r="AH22" s="38">
        <f t="shared" si="13"/>
        <v>-4747.5</v>
      </c>
      <c r="AI22" s="39"/>
      <c r="AJ22" s="35">
        <v>0.9</v>
      </c>
      <c r="AK22" s="36">
        <f t="shared" si="14"/>
        <v>-85455</v>
      </c>
      <c r="AL22" s="37">
        <v>0.5</v>
      </c>
      <c r="AM22" s="38">
        <f t="shared" si="15"/>
        <v>-42727.5</v>
      </c>
      <c r="AN22" s="37">
        <v>0.5</v>
      </c>
      <c r="AO22" s="38">
        <f t="shared" si="16"/>
        <v>-42727.5</v>
      </c>
      <c r="AP22" s="39"/>
      <c r="AQ22" s="35"/>
      <c r="AR22" s="36">
        <f t="shared" si="17"/>
        <v>0</v>
      </c>
      <c r="AS22" s="37"/>
      <c r="AT22" s="38">
        <f t="shared" si="18"/>
        <v>0</v>
      </c>
      <c r="AU22" s="37"/>
      <c r="AV22" s="38">
        <f t="shared" si="19"/>
        <v>0</v>
      </c>
      <c r="AW22" s="39"/>
      <c r="AX22" s="35"/>
      <c r="AY22" s="36">
        <f t="shared" si="20"/>
        <v>0</v>
      </c>
      <c r="AZ22" s="37"/>
      <c r="BA22" s="38">
        <f t="shared" si="21"/>
        <v>0</v>
      </c>
      <c r="BB22" s="37"/>
      <c r="BC22" s="38">
        <f t="shared" si="22"/>
        <v>0</v>
      </c>
      <c r="BD22" s="39"/>
      <c r="BE22" s="35"/>
      <c r="BF22" s="36">
        <f t="shared" si="23"/>
        <v>0</v>
      </c>
      <c r="BG22" s="37"/>
      <c r="BH22" s="38">
        <f t="shared" si="24"/>
        <v>0</v>
      </c>
      <c r="BI22" s="37"/>
      <c r="BJ22" s="38">
        <f t="shared" si="25"/>
        <v>0</v>
      </c>
      <c r="BK22" s="40">
        <f t="shared" si="0"/>
        <v>-94950</v>
      </c>
      <c r="BL22" s="40">
        <f t="shared" si="1"/>
        <v>-94950</v>
      </c>
      <c r="BM22" s="40">
        <f t="shared" si="26"/>
        <v>-94950</v>
      </c>
      <c r="BN22" s="15">
        <f t="shared" si="27"/>
        <v>0</v>
      </c>
    </row>
    <row r="23" spans="1:66" x14ac:dyDescent="0.25">
      <c r="A23" s="2"/>
      <c r="B23" s="50" t="s">
        <v>42</v>
      </c>
      <c r="C23" s="41" t="s">
        <v>34</v>
      </c>
      <c r="D23" s="52">
        <v>287.20197000000002</v>
      </c>
      <c r="E23" s="33">
        <v>65</v>
      </c>
      <c r="F23" s="33">
        <v>18668.128049999999</v>
      </c>
      <c r="G23" s="39"/>
      <c r="H23" s="35"/>
      <c r="I23" s="36">
        <f t="shared" si="2"/>
        <v>0</v>
      </c>
      <c r="J23" s="37"/>
      <c r="K23" s="38">
        <f t="shared" si="3"/>
        <v>0</v>
      </c>
      <c r="L23" s="37"/>
      <c r="M23" s="38">
        <f t="shared" si="4"/>
        <v>0</v>
      </c>
      <c r="N23" s="39"/>
      <c r="O23" s="35">
        <v>0.14285714285714288</v>
      </c>
      <c r="P23" s="36">
        <f t="shared" si="5"/>
        <v>2666.8754357142861</v>
      </c>
      <c r="Q23" s="37">
        <v>0.5</v>
      </c>
      <c r="R23" s="38">
        <f t="shared" si="6"/>
        <v>1333.4377178571431</v>
      </c>
      <c r="S23" s="37">
        <v>0.5</v>
      </c>
      <c r="T23" s="38">
        <f t="shared" si="7"/>
        <v>1333.4377178571431</v>
      </c>
      <c r="U23" s="39"/>
      <c r="V23" s="35">
        <v>0.14285714285714288</v>
      </c>
      <c r="W23" s="36">
        <f t="shared" si="8"/>
        <v>2666.8754357142861</v>
      </c>
      <c r="X23" s="37">
        <v>0.5</v>
      </c>
      <c r="Y23" s="38">
        <f t="shared" si="9"/>
        <v>1333.4377178571431</v>
      </c>
      <c r="Z23" s="37">
        <v>0.5</v>
      </c>
      <c r="AA23" s="38">
        <f t="shared" si="10"/>
        <v>1333.4377178571431</v>
      </c>
      <c r="AB23" s="39"/>
      <c r="AC23" s="35">
        <v>0.14285714285714288</v>
      </c>
      <c r="AD23" s="36">
        <f t="shared" si="11"/>
        <v>2666.8754357142861</v>
      </c>
      <c r="AE23" s="37">
        <v>0.5</v>
      </c>
      <c r="AF23" s="38">
        <f t="shared" si="12"/>
        <v>1333.4377178571431</v>
      </c>
      <c r="AG23" s="37">
        <v>0.5</v>
      </c>
      <c r="AH23" s="38">
        <f t="shared" si="13"/>
        <v>1333.4377178571431</v>
      </c>
      <c r="AI23" s="39"/>
      <c r="AJ23" s="35">
        <v>0.14285714285714288</v>
      </c>
      <c r="AK23" s="36">
        <f t="shared" si="14"/>
        <v>2666.8754357142861</v>
      </c>
      <c r="AL23" s="37">
        <v>0.5</v>
      </c>
      <c r="AM23" s="38">
        <f t="shared" si="15"/>
        <v>1333.4377178571431</v>
      </c>
      <c r="AN23" s="51">
        <v>0.5</v>
      </c>
      <c r="AO23" s="38">
        <f t="shared" si="16"/>
        <v>1333.4377178571431</v>
      </c>
      <c r="AP23" s="39"/>
      <c r="AQ23" s="35">
        <v>0.14285714285714288</v>
      </c>
      <c r="AR23" s="36">
        <f t="shared" si="17"/>
        <v>2666.8754357142861</v>
      </c>
      <c r="AS23" s="37">
        <v>0.5</v>
      </c>
      <c r="AT23" s="38">
        <f t="shared" si="18"/>
        <v>1333.4377178571431</v>
      </c>
      <c r="AU23" s="37">
        <v>0.5</v>
      </c>
      <c r="AV23" s="38">
        <f t="shared" si="19"/>
        <v>1333.4377178571431</v>
      </c>
      <c r="AW23" s="39"/>
      <c r="AX23" s="35">
        <v>0.14285714285714288</v>
      </c>
      <c r="AY23" s="36">
        <f t="shared" si="20"/>
        <v>2666.8754357142861</v>
      </c>
      <c r="AZ23" s="37">
        <v>0.5</v>
      </c>
      <c r="BA23" s="38">
        <f t="shared" si="21"/>
        <v>1333.4377178571431</v>
      </c>
      <c r="BB23" s="37">
        <v>0.5</v>
      </c>
      <c r="BC23" s="38">
        <f t="shared" si="22"/>
        <v>1333.4377178571431</v>
      </c>
      <c r="BD23" s="39"/>
      <c r="BE23" s="35">
        <v>0.14285714285714288</v>
      </c>
      <c r="BF23" s="36">
        <f t="shared" si="23"/>
        <v>2666.8754357142861</v>
      </c>
      <c r="BG23" s="37">
        <v>0.5</v>
      </c>
      <c r="BH23" s="38">
        <f t="shared" si="24"/>
        <v>1333.4377178571431</v>
      </c>
      <c r="BI23" s="37">
        <v>0.5</v>
      </c>
      <c r="BJ23" s="38">
        <f t="shared" si="25"/>
        <v>1333.4377178571431</v>
      </c>
      <c r="BK23" s="40">
        <f t="shared" si="0"/>
        <v>18668.128049999999</v>
      </c>
      <c r="BL23" s="40">
        <f t="shared" si="1"/>
        <v>18668.128050000003</v>
      </c>
      <c r="BM23" s="40">
        <f t="shared" si="26"/>
        <v>18668.128050000007</v>
      </c>
      <c r="BN23" s="15">
        <f t="shared" si="27"/>
        <v>0</v>
      </c>
    </row>
    <row r="24" spans="1:66" x14ac:dyDescent="0.25">
      <c r="B24" s="45" t="s">
        <v>173</v>
      </c>
      <c r="C24" s="41" t="s">
        <v>43</v>
      </c>
      <c r="D24" s="52">
        <v>1</v>
      </c>
      <c r="E24" s="33">
        <v>50000</v>
      </c>
      <c r="F24" s="33">
        <v>50000</v>
      </c>
      <c r="G24" s="39"/>
      <c r="H24" s="35"/>
      <c r="I24" s="36">
        <f t="shared" si="2"/>
        <v>0</v>
      </c>
      <c r="J24" s="37"/>
      <c r="K24" s="38">
        <f t="shared" si="3"/>
        <v>0</v>
      </c>
      <c r="L24" s="37"/>
      <c r="M24" s="38">
        <f t="shared" si="4"/>
        <v>0</v>
      </c>
      <c r="N24" s="39"/>
      <c r="O24" s="35"/>
      <c r="P24" s="36">
        <f t="shared" si="5"/>
        <v>0</v>
      </c>
      <c r="Q24" s="37"/>
      <c r="R24" s="38">
        <f t="shared" si="6"/>
        <v>0</v>
      </c>
      <c r="S24" s="37"/>
      <c r="T24" s="38">
        <f t="shared" si="7"/>
        <v>0</v>
      </c>
      <c r="U24" s="39"/>
      <c r="V24" s="35">
        <v>0.8</v>
      </c>
      <c r="W24" s="36">
        <f t="shared" si="8"/>
        <v>40000</v>
      </c>
      <c r="X24" s="37">
        <v>0.5</v>
      </c>
      <c r="Y24" s="38">
        <f t="shared" si="9"/>
        <v>20000</v>
      </c>
      <c r="Z24" s="37">
        <v>0.5</v>
      </c>
      <c r="AA24" s="38">
        <f t="shared" si="10"/>
        <v>20000</v>
      </c>
      <c r="AB24" s="39"/>
      <c r="AC24" s="35">
        <v>0.2</v>
      </c>
      <c r="AD24" s="36">
        <f t="shared" si="11"/>
        <v>10000</v>
      </c>
      <c r="AE24" s="37">
        <v>0.5</v>
      </c>
      <c r="AF24" s="38">
        <f t="shared" si="12"/>
        <v>5000</v>
      </c>
      <c r="AG24" s="37">
        <v>0.5</v>
      </c>
      <c r="AH24" s="38">
        <f t="shared" si="13"/>
        <v>5000</v>
      </c>
      <c r="AI24" s="39"/>
      <c r="AJ24" s="35"/>
      <c r="AK24" s="36">
        <f t="shared" si="14"/>
        <v>0</v>
      </c>
      <c r="AL24" s="37"/>
      <c r="AM24" s="38">
        <f t="shared" si="15"/>
        <v>0</v>
      </c>
      <c r="AN24" s="37"/>
      <c r="AO24" s="38">
        <f t="shared" si="16"/>
        <v>0</v>
      </c>
      <c r="AP24" s="39"/>
      <c r="AQ24" s="35"/>
      <c r="AR24" s="36">
        <f t="shared" si="17"/>
        <v>0</v>
      </c>
      <c r="AS24" s="37"/>
      <c r="AT24" s="38">
        <f t="shared" si="18"/>
        <v>0</v>
      </c>
      <c r="AU24" s="37"/>
      <c r="AV24" s="38">
        <f t="shared" si="19"/>
        <v>0</v>
      </c>
      <c r="AW24" s="39"/>
      <c r="AX24" s="35"/>
      <c r="AY24" s="36">
        <f t="shared" si="20"/>
        <v>0</v>
      </c>
      <c r="AZ24" s="37"/>
      <c r="BA24" s="38">
        <f t="shared" si="21"/>
        <v>0</v>
      </c>
      <c r="BB24" s="37"/>
      <c r="BC24" s="38">
        <f t="shared" si="22"/>
        <v>0</v>
      </c>
      <c r="BD24" s="39"/>
      <c r="BE24" s="35"/>
      <c r="BF24" s="36">
        <f t="shared" si="23"/>
        <v>0</v>
      </c>
      <c r="BG24" s="37"/>
      <c r="BH24" s="38">
        <f t="shared" si="24"/>
        <v>0</v>
      </c>
      <c r="BI24" s="37"/>
      <c r="BJ24" s="38">
        <f t="shared" si="25"/>
        <v>0</v>
      </c>
      <c r="BK24" s="40">
        <f t="shared" si="0"/>
        <v>50000</v>
      </c>
      <c r="BL24" s="40">
        <f t="shared" si="1"/>
        <v>50000</v>
      </c>
      <c r="BM24" s="40">
        <f t="shared" si="26"/>
        <v>50000</v>
      </c>
      <c r="BN24" s="15">
        <f t="shared" si="27"/>
        <v>0</v>
      </c>
    </row>
    <row r="25" spans="1:66" x14ac:dyDescent="0.25">
      <c r="B25" s="47" t="s">
        <v>44</v>
      </c>
      <c r="C25" s="41" t="s">
        <v>34</v>
      </c>
      <c r="D25" s="52">
        <v>18000</v>
      </c>
      <c r="E25" s="33">
        <v>15</v>
      </c>
      <c r="F25" s="33">
        <v>270000</v>
      </c>
      <c r="G25" s="39"/>
      <c r="H25" s="35"/>
      <c r="I25" s="36">
        <f t="shared" si="2"/>
        <v>0</v>
      </c>
      <c r="J25" s="37"/>
      <c r="K25" s="38">
        <f t="shared" si="3"/>
        <v>0</v>
      </c>
      <c r="L25" s="37"/>
      <c r="M25" s="38">
        <f t="shared" si="4"/>
        <v>0</v>
      </c>
      <c r="N25" s="39"/>
      <c r="O25" s="35">
        <v>1</v>
      </c>
      <c r="P25" s="36">
        <f t="shared" si="5"/>
        <v>270000</v>
      </c>
      <c r="Q25" s="37">
        <v>0.5</v>
      </c>
      <c r="R25" s="38">
        <f t="shared" si="6"/>
        <v>135000</v>
      </c>
      <c r="S25" s="37">
        <v>0.5</v>
      </c>
      <c r="T25" s="38">
        <f t="shared" si="7"/>
        <v>135000</v>
      </c>
      <c r="U25" s="39"/>
      <c r="V25" s="35"/>
      <c r="W25" s="36">
        <f t="shared" si="8"/>
        <v>0</v>
      </c>
      <c r="X25" s="37"/>
      <c r="Y25" s="38">
        <f t="shared" si="9"/>
        <v>0</v>
      </c>
      <c r="Z25" s="37"/>
      <c r="AA25" s="38">
        <f t="shared" si="10"/>
        <v>0</v>
      </c>
      <c r="AB25" s="39"/>
      <c r="AC25" s="35"/>
      <c r="AD25" s="36">
        <f t="shared" si="11"/>
        <v>0</v>
      </c>
      <c r="AE25" s="37"/>
      <c r="AF25" s="38">
        <f t="shared" si="12"/>
        <v>0</v>
      </c>
      <c r="AG25" s="37"/>
      <c r="AH25" s="38">
        <f t="shared" si="13"/>
        <v>0</v>
      </c>
      <c r="AI25" s="39"/>
      <c r="AJ25" s="35"/>
      <c r="AK25" s="36">
        <f t="shared" si="14"/>
        <v>0</v>
      </c>
      <c r="AL25" s="37"/>
      <c r="AM25" s="38">
        <f t="shared" si="15"/>
        <v>0</v>
      </c>
      <c r="AN25" s="37"/>
      <c r="AO25" s="38">
        <f t="shared" si="16"/>
        <v>0</v>
      </c>
      <c r="AP25" s="39"/>
      <c r="AQ25" s="35"/>
      <c r="AR25" s="36">
        <f t="shared" si="17"/>
        <v>0</v>
      </c>
      <c r="AS25" s="37"/>
      <c r="AT25" s="38">
        <f t="shared" si="18"/>
        <v>0</v>
      </c>
      <c r="AU25" s="37"/>
      <c r="AV25" s="38">
        <f t="shared" si="19"/>
        <v>0</v>
      </c>
      <c r="AW25" s="39"/>
      <c r="AX25" s="35"/>
      <c r="AY25" s="36">
        <f t="shared" si="20"/>
        <v>0</v>
      </c>
      <c r="AZ25" s="37"/>
      <c r="BA25" s="38">
        <f t="shared" si="21"/>
        <v>0</v>
      </c>
      <c r="BB25" s="37"/>
      <c r="BC25" s="38">
        <f t="shared" si="22"/>
        <v>0</v>
      </c>
      <c r="BD25" s="39"/>
      <c r="BE25" s="35"/>
      <c r="BF25" s="36">
        <f t="shared" si="23"/>
        <v>0</v>
      </c>
      <c r="BG25" s="37"/>
      <c r="BH25" s="38">
        <f t="shared" si="24"/>
        <v>0</v>
      </c>
      <c r="BI25" s="37"/>
      <c r="BJ25" s="38">
        <f t="shared" si="25"/>
        <v>0</v>
      </c>
      <c r="BK25" s="40">
        <f t="shared" si="0"/>
        <v>270000</v>
      </c>
      <c r="BL25" s="40">
        <f t="shared" si="1"/>
        <v>270000</v>
      </c>
      <c r="BM25" s="40">
        <f t="shared" si="26"/>
        <v>270000</v>
      </c>
      <c r="BN25" s="15">
        <f t="shared" si="27"/>
        <v>0</v>
      </c>
    </row>
    <row r="26" spans="1:66" x14ac:dyDescent="0.25">
      <c r="B26" s="45" t="s">
        <v>174</v>
      </c>
      <c r="C26" s="41" t="s">
        <v>34</v>
      </c>
      <c r="D26" s="52">
        <v>120</v>
      </c>
      <c r="E26" s="33">
        <v>-460.98461538461538</v>
      </c>
      <c r="F26" s="33">
        <v>-55318.153846153844</v>
      </c>
      <c r="G26" s="39"/>
      <c r="H26" s="35"/>
      <c r="I26" s="36">
        <f t="shared" si="2"/>
        <v>0</v>
      </c>
      <c r="J26" s="37"/>
      <c r="K26" s="38">
        <f t="shared" si="3"/>
        <v>0</v>
      </c>
      <c r="L26" s="37"/>
      <c r="M26" s="38">
        <f t="shared" si="4"/>
        <v>0</v>
      </c>
      <c r="N26" s="39"/>
      <c r="O26" s="35"/>
      <c r="P26" s="36">
        <f t="shared" si="5"/>
        <v>0</v>
      </c>
      <c r="Q26" s="37"/>
      <c r="R26" s="38">
        <f t="shared" si="6"/>
        <v>0</v>
      </c>
      <c r="S26" s="37"/>
      <c r="T26" s="38">
        <f t="shared" si="7"/>
        <v>0</v>
      </c>
      <c r="U26" s="39"/>
      <c r="V26" s="35"/>
      <c r="W26" s="36">
        <f t="shared" si="8"/>
        <v>0</v>
      </c>
      <c r="X26" s="37"/>
      <c r="Y26" s="38">
        <f t="shared" si="9"/>
        <v>0</v>
      </c>
      <c r="Z26" s="37"/>
      <c r="AA26" s="38">
        <f t="shared" si="10"/>
        <v>0</v>
      </c>
      <c r="AB26" s="39"/>
      <c r="AC26" s="35"/>
      <c r="AD26" s="36">
        <f t="shared" si="11"/>
        <v>0</v>
      </c>
      <c r="AE26" s="37"/>
      <c r="AF26" s="38">
        <f t="shared" si="12"/>
        <v>0</v>
      </c>
      <c r="AG26" s="37"/>
      <c r="AH26" s="38">
        <f t="shared" si="13"/>
        <v>0</v>
      </c>
      <c r="AI26" s="39"/>
      <c r="AJ26" s="35"/>
      <c r="AK26" s="36">
        <f t="shared" si="14"/>
        <v>0</v>
      </c>
      <c r="AL26" s="37"/>
      <c r="AM26" s="38">
        <f t="shared" si="15"/>
        <v>0</v>
      </c>
      <c r="AN26" s="37"/>
      <c r="AO26" s="38">
        <f t="shared" si="16"/>
        <v>0</v>
      </c>
      <c r="AP26" s="39"/>
      <c r="AQ26" s="35">
        <v>1</v>
      </c>
      <c r="AR26" s="36">
        <f t="shared" si="17"/>
        <v>-55318.153846153844</v>
      </c>
      <c r="AS26" s="37">
        <v>0.5</v>
      </c>
      <c r="AT26" s="38">
        <f t="shared" si="18"/>
        <v>-27659.076923076922</v>
      </c>
      <c r="AU26" s="37">
        <v>0.5</v>
      </c>
      <c r="AV26" s="38">
        <f t="shared" si="19"/>
        <v>-27659.076923076922</v>
      </c>
      <c r="AW26" s="39"/>
      <c r="AX26" s="35"/>
      <c r="AY26" s="36">
        <f t="shared" si="20"/>
        <v>0</v>
      </c>
      <c r="AZ26" s="37"/>
      <c r="BA26" s="38">
        <f t="shared" si="21"/>
        <v>0</v>
      </c>
      <c r="BB26" s="37"/>
      <c r="BC26" s="38">
        <f t="shared" si="22"/>
        <v>0</v>
      </c>
      <c r="BD26" s="39"/>
      <c r="BE26" s="35"/>
      <c r="BF26" s="36">
        <f t="shared" si="23"/>
        <v>0</v>
      </c>
      <c r="BG26" s="37"/>
      <c r="BH26" s="38">
        <f t="shared" si="24"/>
        <v>0</v>
      </c>
      <c r="BI26" s="37"/>
      <c r="BJ26" s="38">
        <f>BI26*BF26</f>
        <v>0</v>
      </c>
      <c r="BK26" s="40">
        <f t="shared" si="0"/>
        <v>-55318.153846153844</v>
      </c>
      <c r="BL26" s="40">
        <f t="shared" si="1"/>
        <v>-55318.153846153844</v>
      </c>
      <c r="BM26" s="40">
        <f t="shared" si="26"/>
        <v>-55318.153846153844</v>
      </c>
      <c r="BN26" s="15">
        <f t="shared" si="27"/>
        <v>0</v>
      </c>
    </row>
    <row r="27" spans="1:66" x14ac:dyDescent="0.25">
      <c r="B27" s="45" t="s">
        <v>45</v>
      </c>
      <c r="C27" s="41" t="s">
        <v>41</v>
      </c>
      <c r="D27" s="52">
        <v>33846.222222222219</v>
      </c>
      <c r="E27" s="33">
        <v>35</v>
      </c>
      <c r="F27" s="33">
        <v>1184617.7777777778</v>
      </c>
      <c r="G27" s="39"/>
      <c r="H27" s="35"/>
      <c r="I27" s="36">
        <f t="shared" si="2"/>
        <v>0</v>
      </c>
      <c r="J27" s="37"/>
      <c r="K27" s="38">
        <f t="shared" si="3"/>
        <v>0</v>
      </c>
      <c r="L27" s="37"/>
      <c r="M27" s="38">
        <f t="shared" si="4"/>
        <v>0</v>
      </c>
      <c r="N27" s="39"/>
      <c r="O27" s="35">
        <v>1</v>
      </c>
      <c r="P27" s="36">
        <f t="shared" si="5"/>
        <v>1184617.7777777778</v>
      </c>
      <c r="Q27" s="37">
        <v>0.5</v>
      </c>
      <c r="R27" s="38">
        <f t="shared" si="6"/>
        <v>592308.88888888888</v>
      </c>
      <c r="S27" s="37">
        <v>0.5</v>
      </c>
      <c r="T27" s="38">
        <f t="shared" si="7"/>
        <v>592308.88888888888</v>
      </c>
      <c r="U27" s="39"/>
      <c r="V27" s="35"/>
      <c r="W27" s="36">
        <f t="shared" si="8"/>
        <v>0</v>
      </c>
      <c r="X27" s="37"/>
      <c r="Y27" s="38">
        <f t="shared" si="9"/>
        <v>0</v>
      </c>
      <c r="Z27" s="37"/>
      <c r="AA27" s="38">
        <f t="shared" si="10"/>
        <v>0</v>
      </c>
      <c r="AB27" s="39"/>
      <c r="AC27" s="35"/>
      <c r="AD27" s="36">
        <f t="shared" si="11"/>
        <v>0</v>
      </c>
      <c r="AE27" s="37"/>
      <c r="AF27" s="38">
        <f t="shared" si="12"/>
        <v>0</v>
      </c>
      <c r="AG27" s="37"/>
      <c r="AH27" s="38">
        <f t="shared" si="13"/>
        <v>0</v>
      </c>
      <c r="AI27" s="39"/>
      <c r="AJ27" s="35"/>
      <c r="AK27" s="36">
        <f t="shared" si="14"/>
        <v>0</v>
      </c>
      <c r="AL27" s="37"/>
      <c r="AM27" s="38">
        <f t="shared" si="15"/>
        <v>0</v>
      </c>
      <c r="AN27" s="37"/>
      <c r="AO27" s="38">
        <f t="shared" si="16"/>
        <v>0</v>
      </c>
      <c r="AP27" s="39"/>
      <c r="AQ27" s="35"/>
      <c r="AR27" s="36">
        <f t="shared" si="17"/>
        <v>0</v>
      </c>
      <c r="AS27" s="37"/>
      <c r="AT27" s="38">
        <f t="shared" si="18"/>
        <v>0</v>
      </c>
      <c r="AU27" s="37"/>
      <c r="AV27" s="38">
        <f t="shared" si="19"/>
        <v>0</v>
      </c>
      <c r="AW27" s="39"/>
      <c r="AX27" s="35"/>
      <c r="AY27" s="36">
        <f t="shared" si="20"/>
        <v>0</v>
      </c>
      <c r="AZ27" s="37"/>
      <c r="BA27" s="38">
        <f t="shared" si="21"/>
        <v>0</v>
      </c>
      <c r="BB27" s="37"/>
      <c r="BC27" s="38">
        <f t="shared" si="22"/>
        <v>0</v>
      </c>
      <c r="BD27" s="39"/>
      <c r="BE27" s="35"/>
      <c r="BF27" s="36">
        <f t="shared" si="23"/>
        <v>0</v>
      </c>
      <c r="BG27" s="37"/>
      <c r="BH27" s="38">
        <f t="shared" si="24"/>
        <v>0</v>
      </c>
      <c r="BI27" s="37"/>
      <c r="BJ27" s="38">
        <f t="shared" ref="BJ27" si="28">BI27*BF27</f>
        <v>0</v>
      </c>
      <c r="BK27" s="40">
        <f t="shared" si="0"/>
        <v>1184617.7777777778</v>
      </c>
      <c r="BL27" s="40">
        <f t="shared" si="1"/>
        <v>1184617.7777777778</v>
      </c>
      <c r="BM27" s="40">
        <f t="shared" si="26"/>
        <v>1184617.7777777778</v>
      </c>
      <c r="BN27" s="15">
        <f t="shared" si="27"/>
        <v>0</v>
      </c>
    </row>
    <row r="28" spans="1:66" x14ac:dyDescent="0.25">
      <c r="B28" s="45"/>
      <c r="C28" s="41"/>
      <c r="D28" s="52"/>
      <c r="E28" s="33"/>
      <c r="F28" s="33"/>
      <c r="G28" s="39"/>
      <c r="H28" s="35"/>
      <c r="I28" s="36"/>
      <c r="J28" s="37"/>
      <c r="K28" s="38"/>
      <c r="L28" s="37"/>
      <c r="M28" s="38"/>
      <c r="N28" s="39"/>
      <c r="O28" s="35"/>
      <c r="P28" s="36"/>
      <c r="Q28" s="37"/>
      <c r="R28" s="38"/>
      <c r="S28" s="37"/>
      <c r="T28" s="38"/>
      <c r="U28" s="39"/>
      <c r="V28" s="35"/>
      <c r="W28" s="36"/>
      <c r="X28" s="37"/>
      <c r="Y28" s="38"/>
      <c r="Z28" s="37"/>
      <c r="AA28" s="38"/>
      <c r="AB28" s="39"/>
      <c r="AC28" s="35"/>
      <c r="AD28" s="36"/>
      <c r="AE28" s="37"/>
      <c r="AF28" s="38"/>
      <c r="AG28" s="37"/>
      <c r="AH28" s="38"/>
      <c r="AI28" s="39"/>
      <c r="AJ28" s="35"/>
      <c r="AK28" s="36"/>
      <c r="AL28" s="37"/>
      <c r="AM28" s="38"/>
      <c r="AN28" s="37"/>
      <c r="AO28" s="38"/>
      <c r="AP28" s="39"/>
      <c r="AQ28" s="35"/>
      <c r="AR28" s="36"/>
      <c r="AS28" s="37"/>
      <c r="AT28" s="38"/>
      <c r="AU28" s="37"/>
      <c r="AV28" s="38"/>
      <c r="AW28" s="39"/>
      <c r="AX28" s="35"/>
      <c r="AY28" s="36"/>
      <c r="AZ28" s="37"/>
      <c r="BA28" s="38"/>
      <c r="BB28" s="37"/>
      <c r="BC28" s="38"/>
      <c r="BD28" s="39"/>
      <c r="BE28" s="35"/>
      <c r="BF28" s="36"/>
      <c r="BG28" s="37"/>
      <c r="BH28" s="38"/>
      <c r="BI28" s="37"/>
      <c r="BJ28" s="38"/>
      <c r="BK28" s="40"/>
      <c r="BL28" s="40"/>
      <c r="BM28" s="40">
        <f t="shared" si="26"/>
        <v>0</v>
      </c>
      <c r="BN28" s="15"/>
    </row>
    <row r="29" spans="1:66" x14ac:dyDescent="0.25">
      <c r="A29" s="1" t="s">
        <v>46</v>
      </c>
      <c r="C29" s="44"/>
      <c r="D29" s="52"/>
      <c r="E29" s="49"/>
      <c r="F29" s="33">
        <v>0</v>
      </c>
      <c r="G29" s="39"/>
      <c r="H29" s="35"/>
      <c r="I29" s="36">
        <f t="shared" si="2"/>
        <v>0</v>
      </c>
      <c r="J29" s="37"/>
      <c r="K29" s="38">
        <f>J29*I29</f>
        <v>0</v>
      </c>
      <c r="L29" s="37"/>
      <c r="M29" s="38">
        <f>L29*I29</f>
        <v>0</v>
      </c>
      <c r="N29" s="39"/>
      <c r="O29" s="35"/>
      <c r="P29" s="36">
        <f t="shared" si="5"/>
        <v>0</v>
      </c>
      <c r="Q29" s="37"/>
      <c r="R29" s="38">
        <f>Q29*P29</f>
        <v>0</v>
      </c>
      <c r="S29" s="37"/>
      <c r="T29" s="38">
        <f>S29*P29</f>
        <v>0</v>
      </c>
      <c r="U29" s="39"/>
      <c r="V29" s="35"/>
      <c r="W29" s="36">
        <f t="shared" si="8"/>
        <v>0</v>
      </c>
      <c r="X29" s="37"/>
      <c r="Y29" s="38">
        <f>X29*W29</f>
        <v>0</v>
      </c>
      <c r="Z29" s="37"/>
      <c r="AA29" s="38">
        <f>Z29*W29</f>
        <v>0</v>
      </c>
      <c r="AB29" s="39"/>
      <c r="AC29" s="35"/>
      <c r="AD29" s="36">
        <f t="shared" si="11"/>
        <v>0</v>
      </c>
      <c r="AE29" s="37"/>
      <c r="AF29" s="38">
        <f>AE29*AD29</f>
        <v>0</v>
      </c>
      <c r="AG29" s="37"/>
      <c r="AH29" s="38">
        <f>AG29*AD29</f>
        <v>0</v>
      </c>
      <c r="AI29" s="39"/>
      <c r="AJ29" s="35"/>
      <c r="AK29" s="36">
        <f t="shared" si="14"/>
        <v>0</v>
      </c>
      <c r="AL29" s="37"/>
      <c r="AM29" s="38">
        <f>AL29*AK29</f>
        <v>0</v>
      </c>
      <c r="AN29" s="37"/>
      <c r="AO29" s="38">
        <f>AN29*AK29</f>
        <v>0</v>
      </c>
      <c r="AP29" s="39"/>
      <c r="AQ29" s="35"/>
      <c r="AR29" s="36">
        <f t="shared" si="17"/>
        <v>0</v>
      </c>
      <c r="AS29" s="37"/>
      <c r="AT29" s="38">
        <f>AS29*AR29</f>
        <v>0</v>
      </c>
      <c r="AU29" s="37"/>
      <c r="AV29" s="38">
        <f>AU29*AR29</f>
        <v>0</v>
      </c>
      <c r="AW29" s="39"/>
      <c r="AX29" s="35"/>
      <c r="AY29" s="36">
        <f t="shared" si="20"/>
        <v>0</v>
      </c>
      <c r="AZ29" s="37"/>
      <c r="BA29" s="38">
        <f>AZ29*AY29</f>
        <v>0</v>
      </c>
      <c r="BB29" s="37"/>
      <c r="BC29" s="38">
        <f>BB29*AY29</f>
        <v>0</v>
      </c>
      <c r="BD29" s="39"/>
      <c r="BE29" s="35"/>
      <c r="BF29" s="36">
        <f t="shared" si="23"/>
        <v>0</v>
      </c>
      <c r="BG29" s="37"/>
      <c r="BH29" s="38">
        <f>BG29*BF29</f>
        <v>0</v>
      </c>
      <c r="BI29" s="37"/>
      <c r="BJ29" s="38">
        <f>BI29*BF29</f>
        <v>0</v>
      </c>
      <c r="BK29" s="40">
        <f t="shared" ref="BK29:BK41" si="29">F29</f>
        <v>0</v>
      </c>
      <c r="BL29" s="40">
        <f t="shared" ref="BL29:BL41" si="30">I29+P29+W29+AD29+AK29+AR29+AY29+BF29</f>
        <v>0</v>
      </c>
      <c r="BM29" s="40">
        <f t="shared" si="26"/>
        <v>0</v>
      </c>
      <c r="BN29" s="15">
        <f>IF(AND(BK29=BL29,BL29=BM29,BK29=BM29),0,1)</f>
        <v>0</v>
      </c>
    </row>
    <row r="30" spans="1:66" x14ac:dyDescent="0.25">
      <c r="B30" s="47" t="s">
        <v>33</v>
      </c>
      <c r="C30" s="41" t="s">
        <v>34</v>
      </c>
      <c r="D30" s="52">
        <v>700</v>
      </c>
      <c r="E30" s="33">
        <v>240</v>
      </c>
      <c r="F30" s="33">
        <v>168000</v>
      </c>
      <c r="G30" s="39"/>
      <c r="H30" s="35"/>
      <c r="I30" s="36">
        <f t="shared" si="2"/>
        <v>0</v>
      </c>
      <c r="J30" s="37"/>
      <c r="K30" s="38">
        <f>J30*I30</f>
        <v>0</v>
      </c>
      <c r="L30" s="37"/>
      <c r="M30" s="38">
        <f>L30*I30</f>
        <v>0</v>
      </c>
      <c r="N30" s="39"/>
      <c r="O30" s="35"/>
      <c r="P30" s="36">
        <f t="shared" si="5"/>
        <v>0</v>
      </c>
      <c r="Q30" s="37"/>
      <c r="R30" s="38">
        <f>Q30*P30</f>
        <v>0</v>
      </c>
      <c r="S30" s="37"/>
      <c r="T30" s="38">
        <f>S30*P30</f>
        <v>0</v>
      </c>
      <c r="U30" s="39"/>
      <c r="V30" s="35">
        <v>0.8</v>
      </c>
      <c r="W30" s="36">
        <f t="shared" si="8"/>
        <v>134400</v>
      </c>
      <c r="X30" s="37">
        <v>0.5</v>
      </c>
      <c r="Y30" s="38">
        <f>X30*W30</f>
        <v>67200</v>
      </c>
      <c r="Z30" s="37">
        <v>0.5</v>
      </c>
      <c r="AA30" s="38">
        <f>Z30*W30</f>
        <v>67200</v>
      </c>
      <c r="AB30" s="39"/>
      <c r="AC30" s="35">
        <v>0.2</v>
      </c>
      <c r="AD30" s="36">
        <f t="shared" si="11"/>
        <v>33600</v>
      </c>
      <c r="AE30" s="37">
        <v>0.5</v>
      </c>
      <c r="AF30" s="38">
        <f>AE30*AD30</f>
        <v>16800</v>
      </c>
      <c r="AG30" s="37">
        <v>0.5</v>
      </c>
      <c r="AH30" s="38">
        <f>AG30*AD30</f>
        <v>16800</v>
      </c>
      <c r="AI30" s="39"/>
      <c r="AJ30" s="35"/>
      <c r="AK30" s="36">
        <f t="shared" si="14"/>
        <v>0</v>
      </c>
      <c r="AL30" s="37"/>
      <c r="AM30" s="38">
        <f>AL30*AK30</f>
        <v>0</v>
      </c>
      <c r="AN30" s="37"/>
      <c r="AO30" s="38">
        <f>AN30*AK30</f>
        <v>0</v>
      </c>
      <c r="AP30" s="39"/>
      <c r="AQ30" s="35"/>
      <c r="AR30" s="36">
        <f t="shared" si="17"/>
        <v>0</v>
      </c>
      <c r="AS30" s="37"/>
      <c r="AT30" s="38">
        <f>AS30*AR30</f>
        <v>0</v>
      </c>
      <c r="AU30" s="37"/>
      <c r="AV30" s="38">
        <f>AU30*AR30</f>
        <v>0</v>
      </c>
      <c r="AW30" s="39"/>
      <c r="AX30" s="35"/>
      <c r="AY30" s="36">
        <f t="shared" si="20"/>
        <v>0</v>
      </c>
      <c r="AZ30" s="37"/>
      <c r="BA30" s="38">
        <f>AZ30*AY30</f>
        <v>0</v>
      </c>
      <c r="BB30" s="37"/>
      <c r="BC30" s="38">
        <f>BB30*AY30</f>
        <v>0</v>
      </c>
      <c r="BD30" s="39"/>
      <c r="BE30" s="35"/>
      <c r="BF30" s="36">
        <f t="shared" si="23"/>
        <v>0</v>
      </c>
      <c r="BG30" s="37"/>
      <c r="BH30" s="38">
        <f>BG30*BF30</f>
        <v>0</v>
      </c>
      <c r="BI30" s="37"/>
      <c r="BJ30" s="38">
        <f>BI30*BF30</f>
        <v>0</v>
      </c>
      <c r="BK30" s="40">
        <f t="shared" si="29"/>
        <v>168000</v>
      </c>
      <c r="BL30" s="40">
        <f t="shared" si="30"/>
        <v>168000</v>
      </c>
      <c r="BM30" s="40">
        <f t="shared" si="26"/>
        <v>168000</v>
      </c>
      <c r="BN30" s="15">
        <f>IF(AND(BK30=BL30,BL30=BM30,BK30=BM30),0,1)</f>
        <v>0</v>
      </c>
    </row>
    <row r="31" spans="1:66" x14ac:dyDescent="0.25">
      <c r="B31" s="45" t="s">
        <v>35</v>
      </c>
      <c r="C31" s="41" t="s">
        <v>34</v>
      </c>
      <c r="D31" s="52">
        <v>700</v>
      </c>
      <c r="E31" s="33">
        <v>-180.52631578947367</v>
      </c>
      <c r="F31" s="33">
        <v>-126368.42105263157</v>
      </c>
      <c r="G31" s="39"/>
      <c r="H31" s="35"/>
      <c r="I31" s="36">
        <f t="shared" si="2"/>
        <v>0</v>
      </c>
      <c r="J31" s="37"/>
      <c r="K31" s="38">
        <f>J31*I31</f>
        <v>0</v>
      </c>
      <c r="L31" s="37"/>
      <c r="M31" s="38">
        <f>L31*I31</f>
        <v>0</v>
      </c>
      <c r="N31" s="39"/>
      <c r="O31" s="35"/>
      <c r="P31" s="36">
        <f t="shared" si="5"/>
        <v>0</v>
      </c>
      <c r="Q31" s="37"/>
      <c r="R31" s="38">
        <f>Q31*P31</f>
        <v>0</v>
      </c>
      <c r="S31" s="37"/>
      <c r="T31" s="38">
        <f>S31*P31</f>
        <v>0</v>
      </c>
      <c r="U31" s="39"/>
      <c r="V31" s="35">
        <v>0.8</v>
      </c>
      <c r="W31" s="36">
        <f t="shared" si="8"/>
        <v>-101094.73684210527</v>
      </c>
      <c r="X31" s="37">
        <v>0.5</v>
      </c>
      <c r="Y31" s="38">
        <f>X31*W31</f>
        <v>-50547.368421052633</v>
      </c>
      <c r="Z31" s="37">
        <v>0.5</v>
      </c>
      <c r="AA31" s="38">
        <f>Z31*W31</f>
        <v>-50547.368421052633</v>
      </c>
      <c r="AB31" s="39"/>
      <c r="AC31" s="35">
        <v>0.2</v>
      </c>
      <c r="AD31" s="36">
        <f t="shared" si="11"/>
        <v>-25273.684210526317</v>
      </c>
      <c r="AE31" s="37">
        <v>0.5</v>
      </c>
      <c r="AF31" s="38">
        <f>AE31*AD31</f>
        <v>-12636.842105263158</v>
      </c>
      <c r="AG31" s="37">
        <v>0.5</v>
      </c>
      <c r="AH31" s="38">
        <f>AG31*AD31</f>
        <v>-12636.842105263158</v>
      </c>
      <c r="AI31" s="39"/>
      <c r="AJ31" s="35"/>
      <c r="AK31" s="36">
        <f t="shared" si="14"/>
        <v>0</v>
      </c>
      <c r="AL31" s="37"/>
      <c r="AM31" s="38">
        <f>AL31*AK31</f>
        <v>0</v>
      </c>
      <c r="AN31" s="37"/>
      <c r="AO31" s="38">
        <f>AN31*AK31</f>
        <v>0</v>
      </c>
      <c r="AP31" s="39"/>
      <c r="AQ31" s="35"/>
      <c r="AR31" s="36">
        <f t="shared" si="17"/>
        <v>0</v>
      </c>
      <c r="AS31" s="37"/>
      <c r="AT31" s="38">
        <f>AS31*AR31</f>
        <v>0</v>
      </c>
      <c r="AU31" s="37"/>
      <c r="AV31" s="38">
        <f>AU31*AR31</f>
        <v>0</v>
      </c>
      <c r="AW31" s="39"/>
      <c r="AX31" s="35"/>
      <c r="AY31" s="36">
        <f t="shared" si="20"/>
        <v>0</v>
      </c>
      <c r="AZ31" s="37"/>
      <c r="BA31" s="38">
        <f>AZ31*AY31</f>
        <v>0</v>
      </c>
      <c r="BB31" s="37"/>
      <c r="BC31" s="38">
        <f>BB31*AY31</f>
        <v>0</v>
      </c>
      <c r="BD31" s="39"/>
      <c r="BE31" s="35"/>
      <c r="BF31" s="36">
        <f t="shared" si="23"/>
        <v>0</v>
      </c>
      <c r="BG31" s="37"/>
      <c r="BH31" s="38">
        <f>BG31*BF31</f>
        <v>0</v>
      </c>
      <c r="BI31" s="37"/>
      <c r="BJ31" s="38">
        <f>BI31*BF31</f>
        <v>0</v>
      </c>
      <c r="BK31" s="40">
        <f t="shared" si="29"/>
        <v>-126368.42105263157</v>
      </c>
      <c r="BL31" s="40">
        <f t="shared" si="30"/>
        <v>-126368.42105263159</v>
      </c>
      <c r="BM31" s="40">
        <f t="shared" si="26"/>
        <v>-126368.42105263157</v>
      </c>
      <c r="BN31" s="15">
        <f>IF(AND(BK31=BL31,BL31=BM31,BK31=BM31),0,1)</f>
        <v>0</v>
      </c>
    </row>
    <row r="32" spans="1:66" x14ac:dyDescent="0.25">
      <c r="C32" s="44"/>
      <c r="D32" s="52"/>
      <c r="E32" s="49"/>
      <c r="F32" s="33">
        <v>0</v>
      </c>
      <c r="G32" s="39"/>
      <c r="H32" s="35"/>
      <c r="I32" s="36">
        <f t="shared" si="2"/>
        <v>0</v>
      </c>
      <c r="J32" s="37"/>
      <c r="K32" s="38">
        <f>J32*I32</f>
        <v>0</v>
      </c>
      <c r="L32" s="37"/>
      <c r="M32" s="38">
        <f>L32*I32</f>
        <v>0</v>
      </c>
      <c r="N32" s="39"/>
      <c r="O32" s="35"/>
      <c r="P32" s="36">
        <f t="shared" si="5"/>
        <v>0</v>
      </c>
      <c r="Q32" s="37"/>
      <c r="R32" s="38">
        <f>Q32*P32</f>
        <v>0</v>
      </c>
      <c r="S32" s="37"/>
      <c r="T32" s="38">
        <f>S32*P32</f>
        <v>0</v>
      </c>
      <c r="U32" s="39"/>
      <c r="V32" s="35"/>
      <c r="W32" s="36">
        <f t="shared" si="8"/>
        <v>0</v>
      </c>
      <c r="X32" s="37"/>
      <c r="Y32" s="38">
        <f>X32*W32</f>
        <v>0</v>
      </c>
      <c r="Z32" s="37"/>
      <c r="AA32" s="38">
        <f>Z32*W32</f>
        <v>0</v>
      </c>
      <c r="AB32" s="39"/>
      <c r="AC32" s="35"/>
      <c r="AD32" s="36">
        <f t="shared" si="11"/>
        <v>0</v>
      </c>
      <c r="AE32" s="37"/>
      <c r="AF32" s="38">
        <f>AE32*AD32</f>
        <v>0</v>
      </c>
      <c r="AG32" s="37"/>
      <c r="AH32" s="38">
        <f>AG32*AD32</f>
        <v>0</v>
      </c>
      <c r="AI32" s="39"/>
      <c r="AJ32" s="35"/>
      <c r="AK32" s="36">
        <f t="shared" si="14"/>
        <v>0</v>
      </c>
      <c r="AL32" s="37"/>
      <c r="AM32" s="38">
        <f>AL32*AK32</f>
        <v>0</v>
      </c>
      <c r="AN32" s="37"/>
      <c r="AO32" s="38">
        <f>AN32*AK32</f>
        <v>0</v>
      </c>
      <c r="AP32" s="39"/>
      <c r="AQ32" s="35"/>
      <c r="AR32" s="36">
        <f t="shared" si="17"/>
        <v>0</v>
      </c>
      <c r="AS32" s="37"/>
      <c r="AT32" s="38">
        <f>AS32*AR32</f>
        <v>0</v>
      </c>
      <c r="AU32" s="37"/>
      <c r="AV32" s="38">
        <f>AU32*AR32</f>
        <v>0</v>
      </c>
      <c r="AW32" s="39"/>
      <c r="AX32" s="35"/>
      <c r="AY32" s="36">
        <f t="shared" si="20"/>
        <v>0</v>
      </c>
      <c r="AZ32" s="37"/>
      <c r="BA32" s="38">
        <f>AZ32*AY32</f>
        <v>0</v>
      </c>
      <c r="BB32" s="37"/>
      <c r="BC32" s="38">
        <f>BB32*AY32</f>
        <v>0</v>
      </c>
      <c r="BD32" s="39"/>
      <c r="BE32" s="35"/>
      <c r="BF32" s="36">
        <f t="shared" si="23"/>
        <v>0</v>
      </c>
      <c r="BG32" s="37"/>
      <c r="BH32" s="38">
        <f>BG32*BF32</f>
        <v>0</v>
      </c>
      <c r="BI32" s="37"/>
      <c r="BJ32" s="38">
        <f>BI32*BF32</f>
        <v>0</v>
      </c>
      <c r="BK32" s="40">
        <f t="shared" si="29"/>
        <v>0</v>
      </c>
      <c r="BL32" s="40">
        <f t="shared" si="30"/>
        <v>0</v>
      </c>
      <c r="BM32" s="40">
        <f t="shared" si="26"/>
        <v>0</v>
      </c>
      <c r="BN32" s="15">
        <f>IF(AND(BK32=BL32,BL32=BM32,BK32=BM32),0,1)</f>
        <v>0</v>
      </c>
    </row>
    <row r="33" spans="1:66" x14ac:dyDescent="0.25">
      <c r="A33" s="1" t="s">
        <v>47</v>
      </c>
      <c r="B33" s="43"/>
      <c r="C33" s="53"/>
      <c r="D33" s="52"/>
      <c r="E33" s="33"/>
      <c r="F33" s="33">
        <v>0</v>
      </c>
      <c r="G33" s="54"/>
      <c r="H33" s="35"/>
      <c r="I33" s="36">
        <f t="shared" si="2"/>
        <v>0</v>
      </c>
      <c r="J33" s="37"/>
      <c r="K33" s="38">
        <f t="shared" ref="K33:K37" si="31">J33*I33</f>
        <v>0</v>
      </c>
      <c r="L33" s="37"/>
      <c r="M33" s="38">
        <f t="shared" ref="M33:M37" si="32">L33*I33</f>
        <v>0</v>
      </c>
      <c r="N33" s="54"/>
      <c r="O33" s="55"/>
      <c r="P33" s="36">
        <f t="shared" si="5"/>
        <v>0</v>
      </c>
      <c r="Q33" s="56"/>
      <c r="R33" s="38">
        <f t="shared" ref="R33:R37" si="33">Q33*P33</f>
        <v>0</v>
      </c>
      <c r="S33" s="56"/>
      <c r="T33" s="38">
        <f t="shared" ref="T33:T37" si="34">S33*P33</f>
        <v>0</v>
      </c>
      <c r="U33" s="54"/>
      <c r="V33" s="55"/>
      <c r="W33" s="36">
        <f t="shared" si="8"/>
        <v>0</v>
      </c>
      <c r="X33" s="56"/>
      <c r="Y33" s="38">
        <f t="shared" ref="Y33:Y37" si="35">X33*W33</f>
        <v>0</v>
      </c>
      <c r="Z33" s="56"/>
      <c r="AA33" s="38">
        <f t="shared" ref="AA33:AA37" si="36">Z33*W33</f>
        <v>0</v>
      </c>
      <c r="AB33" s="54"/>
      <c r="AC33" s="55"/>
      <c r="AD33" s="36">
        <f t="shared" si="11"/>
        <v>0</v>
      </c>
      <c r="AE33" s="56"/>
      <c r="AF33" s="38">
        <f t="shared" ref="AF33:AF37" si="37">AE33*AD33</f>
        <v>0</v>
      </c>
      <c r="AG33" s="56"/>
      <c r="AH33" s="38">
        <f t="shared" ref="AH33:AH37" si="38">AG33*AD33</f>
        <v>0</v>
      </c>
      <c r="AI33" s="54"/>
      <c r="AJ33" s="55"/>
      <c r="AK33" s="36">
        <f t="shared" si="14"/>
        <v>0</v>
      </c>
      <c r="AL33" s="56"/>
      <c r="AM33" s="38">
        <f t="shared" ref="AM33:AM37" si="39">AL33*AK33</f>
        <v>0</v>
      </c>
      <c r="AN33" s="56"/>
      <c r="AO33" s="38">
        <f t="shared" ref="AO33:AO37" si="40">AN33*AK33</f>
        <v>0</v>
      </c>
      <c r="AP33" s="54"/>
      <c r="AQ33" s="55"/>
      <c r="AR33" s="36">
        <f t="shared" si="17"/>
        <v>0</v>
      </c>
      <c r="AS33" s="56"/>
      <c r="AT33" s="38">
        <f t="shared" ref="AT33:AT37" si="41">AS33*AR33</f>
        <v>0</v>
      </c>
      <c r="AU33" s="56"/>
      <c r="AV33" s="38">
        <f t="shared" ref="AV33:AV37" si="42">AU33*AR33</f>
        <v>0</v>
      </c>
      <c r="AW33" s="54"/>
      <c r="AX33" s="55"/>
      <c r="AY33" s="36">
        <f t="shared" si="20"/>
        <v>0</v>
      </c>
      <c r="AZ33" s="56"/>
      <c r="BA33" s="38">
        <f t="shared" ref="BA33:BA37" si="43">AZ33*AY33</f>
        <v>0</v>
      </c>
      <c r="BB33" s="56"/>
      <c r="BC33" s="38">
        <f t="shared" ref="BC33:BC37" si="44">BB33*AY33</f>
        <v>0</v>
      </c>
      <c r="BD33" s="54"/>
      <c r="BE33" s="55"/>
      <c r="BF33" s="36">
        <f t="shared" si="23"/>
        <v>0</v>
      </c>
      <c r="BG33" s="56"/>
      <c r="BH33" s="38">
        <f t="shared" ref="BH33:BH37" si="45">BG33*BF33</f>
        <v>0</v>
      </c>
      <c r="BI33" s="56"/>
      <c r="BJ33" s="38">
        <f t="shared" ref="BJ33:BJ37" si="46">BI33*BF33</f>
        <v>0</v>
      </c>
      <c r="BK33" s="40">
        <f t="shared" si="29"/>
        <v>0</v>
      </c>
      <c r="BL33" s="40">
        <f t="shared" si="30"/>
        <v>0</v>
      </c>
      <c r="BM33" s="40">
        <f t="shared" si="26"/>
        <v>0</v>
      </c>
      <c r="BN33" s="15">
        <f t="shared" ref="BN33:BN37" si="47">IF(AND(BK33=BL33,BL33=BM33,BK33=BM33),0,1)</f>
        <v>0</v>
      </c>
    </row>
    <row r="34" spans="1:66" x14ac:dyDescent="0.25">
      <c r="B34" s="43" t="s">
        <v>48</v>
      </c>
      <c r="C34" s="53" t="s">
        <v>34</v>
      </c>
      <c r="D34" s="52">
        <v>120</v>
      </c>
      <c r="E34" s="33">
        <v>240</v>
      </c>
      <c r="F34" s="33">
        <v>28800</v>
      </c>
      <c r="G34" s="54"/>
      <c r="H34" s="35"/>
      <c r="I34" s="36">
        <f t="shared" si="2"/>
        <v>0</v>
      </c>
      <c r="J34" s="37"/>
      <c r="K34" s="38">
        <f t="shared" si="31"/>
        <v>0</v>
      </c>
      <c r="L34" s="37"/>
      <c r="M34" s="38">
        <f t="shared" si="32"/>
        <v>0</v>
      </c>
      <c r="N34" s="54"/>
      <c r="O34" s="55"/>
      <c r="P34" s="36">
        <f t="shared" si="5"/>
        <v>0</v>
      </c>
      <c r="Q34" s="56"/>
      <c r="R34" s="38">
        <f t="shared" si="33"/>
        <v>0</v>
      </c>
      <c r="S34" s="56"/>
      <c r="T34" s="38">
        <f t="shared" si="34"/>
        <v>0</v>
      </c>
      <c r="U34" s="54"/>
      <c r="V34" s="55">
        <v>0.6</v>
      </c>
      <c r="W34" s="36">
        <f t="shared" si="8"/>
        <v>17280</v>
      </c>
      <c r="X34" s="56">
        <v>0.5</v>
      </c>
      <c r="Y34" s="38">
        <f t="shared" si="35"/>
        <v>8640</v>
      </c>
      <c r="Z34" s="56">
        <v>0.5</v>
      </c>
      <c r="AA34" s="38">
        <f t="shared" si="36"/>
        <v>8640</v>
      </c>
      <c r="AB34" s="54"/>
      <c r="AC34" s="55">
        <v>0.2</v>
      </c>
      <c r="AD34" s="36">
        <f t="shared" si="11"/>
        <v>5760</v>
      </c>
      <c r="AE34" s="56">
        <v>0.5</v>
      </c>
      <c r="AF34" s="38">
        <f t="shared" si="37"/>
        <v>2880</v>
      </c>
      <c r="AG34" s="56">
        <v>0.5</v>
      </c>
      <c r="AH34" s="38">
        <f t="shared" si="38"/>
        <v>2880</v>
      </c>
      <c r="AI34" s="54"/>
      <c r="AJ34" s="55">
        <v>0.15</v>
      </c>
      <c r="AK34" s="36">
        <f t="shared" si="14"/>
        <v>4320</v>
      </c>
      <c r="AL34" s="56">
        <v>0.5</v>
      </c>
      <c r="AM34" s="38">
        <f t="shared" si="39"/>
        <v>2160</v>
      </c>
      <c r="AN34" s="56">
        <v>0.5</v>
      </c>
      <c r="AO34" s="38">
        <f t="shared" si="40"/>
        <v>2160</v>
      </c>
      <c r="AP34" s="54"/>
      <c r="AQ34" s="55">
        <v>0.05</v>
      </c>
      <c r="AR34" s="36">
        <f t="shared" si="17"/>
        <v>1440</v>
      </c>
      <c r="AS34" s="56">
        <v>0.5</v>
      </c>
      <c r="AT34" s="38">
        <f t="shared" si="41"/>
        <v>720</v>
      </c>
      <c r="AU34" s="56">
        <v>0.5</v>
      </c>
      <c r="AV34" s="38">
        <f t="shared" si="42"/>
        <v>720</v>
      </c>
      <c r="AW34" s="54"/>
      <c r="AX34" s="55"/>
      <c r="AY34" s="36">
        <f t="shared" si="20"/>
        <v>0</v>
      </c>
      <c r="AZ34" s="56"/>
      <c r="BA34" s="38">
        <f t="shared" si="43"/>
        <v>0</v>
      </c>
      <c r="BB34" s="56"/>
      <c r="BC34" s="38">
        <f t="shared" si="44"/>
        <v>0</v>
      </c>
      <c r="BD34" s="54"/>
      <c r="BE34" s="55"/>
      <c r="BF34" s="36">
        <f t="shared" si="23"/>
        <v>0</v>
      </c>
      <c r="BG34" s="56"/>
      <c r="BH34" s="38">
        <f t="shared" si="45"/>
        <v>0</v>
      </c>
      <c r="BI34" s="56"/>
      <c r="BJ34" s="38">
        <f t="shared" si="46"/>
        <v>0</v>
      </c>
      <c r="BK34" s="40">
        <f t="shared" si="29"/>
        <v>28800</v>
      </c>
      <c r="BL34" s="40">
        <f t="shared" si="30"/>
        <v>28800</v>
      </c>
      <c r="BM34" s="40">
        <f t="shared" si="26"/>
        <v>28800</v>
      </c>
      <c r="BN34" s="15">
        <f t="shared" si="47"/>
        <v>0</v>
      </c>
    </row>
    <row r="35" spans="1:66" x14ac:dyDescent="0.25">
      <c r="B35" s="43" t="s">
        <v>49</v>
      </c>
      <c r="C35" s="53" t="s">
        <v>34</v>
      </c>
      <c r="D35" s="52">
        <v>120</v>
      </c>
      <c r="E35" s="33">
        <v>-180.52631578947367</v>
      </c>
      <c r="F35" s="33">
        <v>-21663.15789473684</v>
      </c>
      <c r="G35" s="54"/>
      <c r="H35" s="35"/>
      <c r="I35" s="36">
        <f t="shared" si="2"/>
        <v>0</v>
      </c>
      <c r="J35" s="37"/>
      <c r="K35" s="38">
        <f t="shared" si="31"/>
        <v>0</v>
      </c>
      <c r="L35" s="37"/>
      <c r="M35" s="38">
        <f t="shared" si="32"/>
        <v>0</v>
      </c>
      <c r="N35" s="54"/>
      <c r="O35" s="55"/>
      <c r="P35" s="36">
        <f t="shared" si="5"/>
        <v>0</v>
      </c>
      <c r="Q35" s="56"/>
      <c r="R35" s="38">
        <f t="shared" si="33"/>
        <v>0</v>
      </c>
      <c r="S35" s="56"/>
      <c r="T35" s="38">
        <f t="shared" si="34"/>
        <v>0</v>
      </c>
      <c r="U35" s="54"/>
      <c r="V35" s="55">
        <v>0.6</v>
      </c>
      <c r="W35" s="36">
        <f t="shared" si="8"/>
        <v>-12997.894736842103</v>
      </c>
      <c r="X35" s="56">
        <v>0.5</v>
      </c>
      <c r="Y35" s="38">
        <f t="shared" si="35"/>
        <v>-6498.9473684210516</v>
      </c>
      <c r="Z35" s="56">
        <v>0.5</v>
      </c>
      <c r="AA35" s="38">
        <f t="shared" si="36"/>
        <v>-6498.9473684210516</v>
      </c>
      <c r="AB35" s="54"/>
      <c r="AC35" s="55">
        <v>0.25</v>
      </c>
      <c r="AD35" s="36">
        <f t="shared" si="11"/>
        <v>-5415.78947368421</v>
      </c>
      <c r="AE35" s="56">
        <v>0.5</v>
      </c>
      <c r="AF35" s="38">
        <f t="shared" si="37"/>
        <v>-2707.894736842105</v>
      </c>
      <c r="AG35" s="56">
        <v>0.5</v>
      </c>
      <c r="AH35" s="38">
        <f t="shared" si="38"/>
        <v>-2707.894736842105</v>
      </c>
      <c r="AI35" s="54"/>
      <c r="AJ35" s="55">
        <v>0.15</v>
      </c>
      <c r="AK35" s="36">
        <f t="shared" si="14"/>
        <v>-3249.4736842105258</v>
      </c>
      <c r="AL35" s="56">
        <v>0.5</v>
      </c>
      <c r="AM35" s="38">
        <f t="shared" si="39"/>
        <v>-1624.7368421052629</v>
      </c>
      <c r="AN35" s="56">
        <v>0.5</v>
      </c>
      <c r="AO35" s="38">
        <f t="shared" si="40"/>
        <v>-1624.7368421052629</v>
      </c>
      <c r="AP35" s="54"/>
      <c r="AQ35" s="55"/>
      <c r="AR35" s="36">
        <f t="shared" si="17"/>
        <v>0</v>
      </c>
      <c r="AS35" s="56"/>
      <c r="AT35" s="38">
        <f t="shared" si="41"/>
        <v>0</v>
      </c>
      <c r="AU35" s="56"/>
      <c r="AV35" s="38">
        <f t="shared" si="42"/>
        <v>0</v>
      </c>
      <c r="AW35" s="54"/>
      <c r="AX35" s="55"/>
      <c r="AY35" s="36">
        <f t="shared" si="20"/>
        <v>0</v>
      </c>
      <c r="AZ35" s="56"/>
      <c r="BA35" s="38">
        <f t="shared" si="43"/>
        <v>0</v>
      </c>
      <c r="BB35" s="56"/>
      <c r="BC35" s="38">
        <f t="shared" si="44"/>
        <v>0</v>
      </c>
      <c r="BD35" s="54"/>
      <c r="BE35" s="55"/>
      <c r="BF35" s="36">
        <f t="shared" si="23"/>
        <v>0</v>
      </c>
      <c r="BG35" s="56"/>
      <c r="BH35" s="38">
        <f t="shared" si="45"/>
        <v>0</v>
      </c>
      <c r="BI35" s="56"/>
      <c r="BJ35" s="38">
        <f t="shared" si="46"/>
        <v>0</v>
      </c>
      <c r="BK35" s="40">
        <f t="shared" si="29"/>
        <v>-21663.15789473684</v>
      </c>
      <c r="BL35" s="40">
        <f t="shared" si="30"/>
        <v>-21663.15789473684</v>
      </c>
      <c r="BM35" s="40">
        <f t="shared" si="26"/>
        <v>-21663.15789473684</v>
      </c>
      <c r="BN35" s="15">
        <f t="shared" si="47"/>
        <v>0</v>
      </c>
    </row>
    <row r="36" spans="1:66" x14ac:dyDescent="0.25">
      <c r="B36" s="50" t="s">
        <v>42</v>
      </c>
      <c r="C36" s="53" t="s">
        <v>34</v>
      </c>
      <c r="D36" s="52">
        <v>23</v>
      </c>
      <c r="E36" s="33">
        <v>65</v>
      </c>
      <c r="F36" s="33">
        <v>1495</v>
      </c>
      <c r="G36" s="54"/>
      <c r="H36" s="35"/>
      <c r="I36" s="36">
        <f t="shared" si="2"/>
        <v>0</v>
      </c>
      <c r="J36" s="37"/>
      <c r="K36" s="38">
        <f t="shared" si="31"/>
        <v>0</v>
      </c>
      <c r="L36" s="37"/>
      <c r="M36" s="38">
        <f t="shared" si="32"/>
        <v>0</v>
      </c>
      <c r="N36" s="54"/>
      <c r="O36" s="55">
        <v>0.14285714285714288</v>
      </c>
      <c r="P36" s="36">
        <f t="shared" si="5"/>
        <v>213.57142857142861</v>
      </c>
      <c r="Q36" s="56">
        <v>0.5</v>
      </c>
      <c r="R36" s="38">
        <f t="shared" si="33"/>
        <v>106.78571428571431</v>
      </c>
      <c r="S36" s="56">
        <v>0.5</v>
      </c>
      <c r="T36" s="38">
        <f t="shared" si="34"/>
        <v>106.78571428571431</v>
      </c>
      <c r="U36" s="54"/>
      <c r="V36" s="55">
        <v>0.14285714285714288</v>
      </c>
      <c r="W36" s="36">
        <f t="shared" si="8"/>
        <v>213.57142857142861</v>
      </c>
      <c r="X36" s="56">
        <v>0.5</v>
      </c>
      <c r="Y36" s="38">
        <f t="shared" si="35"/>
        <v>106.78571428571431</v>
      </c>
      <c r="Z36" s="56">
        <v>0.5</v>
      </c>
      <c r="AA36" s="38">
        <f t="shared" si="36"/>
        <v>106.78571428571431</v>
      </c>
      <c r="AB36" s="54"/>
      <c r="AC36" s="55">
        <v>0.14285714285714288</v>
      </c>
      <c r="AD36" s="36">
        <f t="shared" si="11"/>
        <v>213.57142857142861</v>
      </c>
      <c r="AE36" s="56">
        <v>0.5</v>
      </c>
      <c r="AF36" s="38">
        <f t="shared" si="37"/>
        <v>106.78571428571431</v>
      </c>
      <c r="AG36" s="56">
        <v>0.5</v>
      </c>
      <c r="AH36" s="38">
        <f t="shared" si="38"/>
        <v>106.78571428571431</v>
      </c>
      <c r="AI36" s="54"/>
      <c r="AJ36" s="55">
        <v>0.14285714285714288</v>
      </c>
      <c r="AK36" s="36">
        <f t="shared" si="14"/>
        <v>213.57142857142861</v>
      </c>
      <c r="AL36" s="56">
        <v>0.5</v>
      </c>
      <c r="AM36" s="38">
        <f t="shared" si="39"/>
        <v>106.78571428571431</v>
      </c>
      <c r="AN36" s="56">
        <v>0.5</v>
      </c>
      <c r="AO36" s="38">
        <f t="shared" si="40"/>
        <v>106.78571428571431</v>
      </c>
      <c r="AP36" s="54"/>
      <c r="AQ36" s="55">
        <v>0.14285714285714288</v>
      </c>
      <c r="AR36" s="36">
        <f t="shared" si="17"/>
        <v>213.57142857142861</v>
      </c>
      <c r="AS36" s="56">
        <v>0.5</v>
      </c>
      <c r="AT36" s="38">
        <f t="shared" si="41"/>
        <v>106.78571428571431</v>
      </c>
      <c r="AU36" s="56">
        <v>0.5</v>
      </c>
      <c r="AV36" s="38">
        <f t="shared" si="42"/>
        <v>106.78571428571431</v>
      </c>
      <c r="AW36" s="54"/>
      <c r="AX36" s="55">
        <v>0.14285714285714288</v>
      </c>
      <c r="AY36" s="36">
        <f t="shared" si="20"/>
        <v>213.57142857142861</v>
      </c>
      <c r="AZ36" s="56">
        <v>0.5</v>
      </c>
      <c r="BA36" s="38">
        <f t="shared" si="43"/>
        <v>106.78571428571431</v>
      </c>
      <c r="BB36" s="56">
        <v>0.5</v>
      </c>
      <c r="BC36" s="38">
        <f t="shared" si="44"/>
        <v>106.78571428571431</v>
      </c>
      <c r="BD36" s="54"/>
      <c r="BE36" s="55">
        <v>0.14285714285714288</v>
      </c>
      <c r="BF36" s="36">
        <f t="shared" si="23"/>
        <v>213.57142857142861</v>
      </c>
      <c r="BG36" s="56">
        <v>0.5</v>
      </c>
      <c r="BH36" s="38">
        <f t="shared" si="45"/>
        <v>106.78571428571431</v>
      </c>
      <c r="BI36" s="56">
        <v>0.5</v>
      </c>
      <c r="BJ36" s="38">
        <f t="shared" si="46"/>
        <v>106.78571428571431</v>
      </c>
      <c r="BK36" s="40">
        <f t="shared" si="29"/>
        <v>1495</v>
      </c>
      <c r="BL36" s="40">
        <f t="shared" si="30"/>
        <v>1495.0000000000005</v>
      </c>
      <c r="BM36" s="40">
        <f t="shared" si="26"/>
        <v>1495</v>
      </c>
      <c r="BN36" s="15">
        <f t="shared" si="47"/>
        <v>0</v>
      </c>
    </row>
    <row r="37" spans="1:66" x14ac:dyDescent="0.25">
      <c r="B37" s="43"/>
      <c r="C37" s="53"/>
      <c r="D37" s="42"/>
      <c r="E37" s="33"/>
      <c r="F37" s="33"/>
      <c r="G37" s="54"/>
      <c r="H37" s="35"/>
      <c r="I37" s="36">
        <f t="shared" si="2"/>
        <v>0</v>
      </c>
      <c r="J37" s="37"/>
      <c r="K37" s="38">
        <f t="shared" si="31"/>
        <v>0</v>
      </c>
      <c r="L37" s="37"/>
      <c r="M37" s="38">
        <f t="shared" si="32"/>
        <v>0</v>
      </c>
      <c r="N37" s="54"/>
      <c r="O37" s="55"/>
      <c r="P37" s="36">
        <f t="shared" si="5"/>
        <v>0</v>
      </c>
      <c r="Q37" s="56"/>
      <c r="R37" s="38">
        <f t="shared" si="33"/>
        <v>0</v>
      </c>
      <c r="S37" s="56"/>
      <c r="T37" s="38">
        <f t="shared" si="34"/>
        <v>0</v>
      </c>
      <c r="U37" s="54"/>
      <c r="V37" s="55"/>
      <c r="W37" s="36">
        <f t="shared" si="8"/>
        <v>0</v>
      </c>
      <c r="X37" s="56"/>
      <c r="Y37" s="38">
        <f t="shared" si="35"/>
        <v>0</v>
      </c>
      <c r="Z37" s="56"/>
      <c r="AA37" s="38">
        <f t="shared" si="36"/>
        <v>0</v>
      </c>
      <c r="AB37" s="54"/>
      <c r="AC37" s="55"/>
      <c r="AD37" s="36">
        <f t="shared" si="11"/>
        <v>0</v>
      </c>
      <c r="AE37" s="56"/>
      <c r="AF37" s="38">
        <f t="shared" si="37"/>
        <v>0</v>
      </c>
      <c r="AG37" s="56"/>
      <c r="AH37" s="38">
        <f t="shared" si="38"/>
        <v>0</v>
      </c>
      <c r="AI37" s="54"/>
      <c r="AJ37" s="55"/>
      <c r="AK37" s="36">
        <f t="shared" si="14"/>
        <v>0</v>
      </c>
      <c r="AL37" s="56"/>
      <c r="AM37" s="38">
        <f t="shared" si="39"/>
        <v>0</v>
      </c>
      <c r="AN37" s="56"/>
      <c r="AO37" s="38">
        <f t="shared" si="40"/>
        <v>0</v>
      </c>
      <c r="AP37" s="54"/>
      <c r="AQ37" s="55"/>
      <c r="AR37" s="36">
        <f t="shared" si="17"/>
        <v>0</v>
      </c>
      <c r="AS37" s="56"/>
      <c r="AT37" s="38">
        <f t="shared" si="41"/>
        <v>0</v>
      </c>
      <c r="AU37" s="56"/>
      <c r="AV37" s="38">
        <f t="shared" si="42"/>
        <v>0</v>
      </c>
      <c r="AW37" s="54"/>
      <c r="AX37" s="55"/>
      <c r="AY37" s="36">
        <f t="shared" si="20"/>
        <v>0</v>
      </c>
      <c r="AZ37" s="56"/>
      <c r="BA37" s="38">
        <f t="shared" si="43"/>
        <v>0</v>
      </c>
      <c r="BB37" s="56"/>
      <c r="BC37" s="38">
        <f t="shared" si="44"/>
        <v>0</v>
      </c>
      <c r="BD37" s="54"/>
      <c r="BE37" s="55"/>
      <c r="BF37" s="36">
        <f t="shared" si="23"/>
        <v>0</v>
      </c>
      <c r="BG37" s="56"/>
      <c r="BH37" s="38">
        <f t="shared" si="45"/>
        <v>0</v>
      </c>
      <c r="BI37" s="56"/>
      <c r="BJ37" s="38">
        <f t="shared" si="46"/>
        <v>0</v>
      </c>
      <c r="BK37" s="40">
        <f t="shared" si="29"/>
        <v>0</v>
      </c>
      <c r="BL37" s="40">
        <f t="shared" si="30"/>
        <v>0</v>
      </c>
      <c r="BM37" s="40">
        <f t="shared" si="26"/>
        <v>0</v>
      </c>
      <c r="BN37" s="15">
        <f t="shared" si="47"/>
        <v>0</v>
      </c>
    </row>
    <row r="38" spans="1:66" x14ac:dyDescent="0.25">
      <c r="B38" s="57" t="s">
        <v>0</v>
      </c>
      <c r="C38" s="58"/>
      <c r="D38" s="59"/>
      <c r="E38" s="60"/>
      <c r="F38" s="61">
        <v>2299498.4474813156</v>
      </c>
      <c r="G38" s="61">
        <f>SUM(G4:G37)</f>
        <v>0</v>
      </c>
      <c r="H38" s="61"/>
      <c r="I38" s="61">
        <f>SUM(I4:I37)</f>
        <v>223750</v>
      </c>
      <c r="J38" s="61"/>
      <c r="K38" s="61">
        <f>SUM(K4:K37)</f>
        <v>111875</v>
      </c>
      <c r="L38" s="61"/>
      <c r="M38" s="61">
        <f>SUM(M4:M37)</f>
        <v>111875</v>
      </c>
      <c r="N38" s="61">
        <f>SUM(N4:N37)</f>
        <v>0</v>
      </c>
      <c r="O38" s="61"/>
      <c r="P38" s="61">
        <f>SUM(P4:P37)</f>
        <v>1613748.2246420635</v>
      </c>
      <c r="Q38" s="61"/>
      <c r="R38" s="61">
        <f>SUM(R4:R37)</f>
        <v>806874.11232103175</v>
      </c>
      <c r="S38" s="61"/>
      <c r="T38" s="61">
        <f>SUM(T4:T37)</f>
        <v>806874.11232103175</v>
      </c>
      <c r="U38" s="61">
        <f>SUM(U4:U37)</f>
        <v>0</v>
      </c>
      <c r="V38" s="61"/>
      <c r="W38" s="61">
        <f>SUM(W4:W37)</f>
        <v>289937.45322685875</v>
      </c>
      <c r="X38" s="61"/>
      <c r="Y38" s="61">
        <f>SUM(Y4:Y37)</f>
        <v>144968.72661342937</v>
      </c>
      <c r="Z38" s="61"/>
      <c r="AA38" s="61">
        <f>SUM(AA4:AA37)</f>
        <v>144968.72661342937</v>
      </c>
      <c r="AB38" s="61">
        <f>SUM(AB4:AB37)</f>
        <v>0</v>
      </c>
      <c r="AC38" s="61"/>
      <c r="AD38" s="61">
        <f>SUM(AD4:AD37)</f>
        <v>-606.91588055910574</v>
      </c>
      <c r="AE38" s="61"/>
      <c r="AF38" s="61">
        <f>SUM(AF4:AF37)</f>
        <v>-303.45794027955287</v>
      </c>
      <c r="AG38" s="61"/>
      <c r="AH38" s="61">
        <f>SUM(AH4:AH37)</f>
        <v>-303.45794027955287</v>
      </c>
      <c r="AI38" s="61">
        <f>SUM(AI4:AI37)</f>
        <v>0</v>
      </c>
      <c r="AJ38" s="61"/>
      <c r="AK38" s="61">
        <f>SUM(AK4:AK37)</f>
        <v>117703.66044323306</v>
      </c>
      <c r="AL38" s="61"/>
      <c r="AM38" s="61">
        <f>SUM(AM4:AM37)</f>
        <v>58851.830221616532</v>
      </c>
      <c r="AN38" s="61"/>
      <c r="AO38" s="61">
        <f>SUM(AO4:AO37)</f>
        <v>58851.830221616532</v>
      </c>
      <c r="AP38" s="61">
        <f>SUM(AP4:AP37)</f>
        <v>0</v>
      </c>
      <c r="AQ38" s="61"/>
      <c r="AR38" s="61">
        <f>SUM(AR4:AR37)</f>
        <v>11705.131321147239</v>
      </c>
      <c r="AS38" s="61"/>
      <c r="AT38" s="61">
        <f>SUM(AT4:AT37)</f>
        <v>5852.5656605736194</v>
      </c>
      <c r="AU38" s="61"/>
      <c r="AV38" s="61">
        <f>SUM(AV4:AV37)</f>
        <v>5852.5656605736194</v>
      </c>
      <c r="AW38" s="61">
        <f>SUM(AW4:AW37)</f>
        <v>0</v>
      </c>
      <c r="AX38" s="61"/>
      <c r="AY38" s="61">
        <f>SUM(AY4:AY37)</f>
        <v>21630.446864285714</v>
      </c>
      <c r="AZ38" s="61"/>
      <c r="BA38" s="61">
        <f>SUM(BA4:BA37)</f>
        <v>10815.223432142857</v>
      </c>
      <c r="BB38" s="61"/>
      <c r="BC38" s="61">
        <f>SUM(BC4:BC37)</f>
        <v>10815.223432142857</v>
      </c>
      <c r="BD38" s="61">
        <f>SUM(BD4:BD37)</f>
        <v>0</v>
      </c>
      <c r="BE38" s="61"/>
      <c r="BF38" s="61">
        <f>SUM(BF4:BF37)</f>
        <v>21630.446864285714</v>
      </c>
      <c r="BG38" s="61"/>
      <c r="BH38" s="61">
        <f>SUM(BH4:BH37)</f>
        <v>10815.223432142857</v>
      </c>
      <c r="BI38" s="61"/>
      <c r="BJ38" s="61">
        <f>SUM(BJ4:BJ37)</f>
        <v>10815.223432142857</v>
      </c>
      <c r="BK38" s="40">
        <f t="shared" si="29"/>
        <v>2299498.4474813156</v>
      </c>
      <c r="BL38" s="40">
        <f t="shared" si="30"/>
        <v>2299498.4474813142</v>
      </c>
      <c r="BM38" s="40">
        <f t="shared" si="26"/>
        <v>2299498.4474813147</v>
      </c>
      <c r="BN38" s="15"/>
    </row>
    <row r="39" spans="1:66" x14ac:dyDescent="0.25">
      <c r="I39" s="36">
        <f>H39*F39</f>
        <v>0</v>
      </c>
      <c r="BK39" s="40">
        <f t="shared" si="29"/>
        <v>0</v>
      </c>
      <c r="BL39" s="40">
        <f t="shared" si="30"/>
        <v>0</v>
      </c>
      <c r="BM39" s="40">
        <f t="shared" si="26"/>
        <v>0</v>
      </c>
      <c r="BN39" s="15">
        <f t="shared" si="27"/>
        <v>0</v>
      </c>
    </row>
    <row r="40" spans="1:66" x14ac:dyDescent="0.25">
      <c r="I40" s="36">
        <f>H40*F40</f>
        <v>0</v>
      </c>
      <c r="BK40" s="40">
        <f t="shared" si="29"/>
        <v>0</v>
      </c>
      <c r="BL40" s="40">
        <f t="shared" si="30"/>
        <v>0</v>
      </c>
      <c r="BM40" s="40">
        <f t="shared" si="26"/>
        <v>0</v>
      </c>
      <c r="BN40" s="15">
        <f t="shared" si="27"/>
        <v>0</v>
      </c>
    </row>
    <row r="41" spans="1:66" x14ac:dyDescent="0.25">
      <c r="B41" s="47" t="s">
        <v>51</v>
      </c>
      <c r="C41" s="41" t="s">
        <v>34</v>
      </c>
      <c r="D41" s="42">
        <v>2489</v>
      </c>
      <c r="E41" s="33">
        <v>65</v>
      </c>
      <c r="F41" s="33">
        <v>161785</v>
      </c>
      <c r="G41" s="39"/>
      <c r="H41" s="35"/>
      <c r="I41" s="36">
        <f t="shared" ref="I41" si="48">H41*$F41</f>
        <v>0</v>
      </c>
      <c r="J41" s="37"/>
      <c r="K41" s="38">
        <f t="shared" ref="K41" si="49">J41*I41</f>
        <v>0</v>
      </c>
      <c r="L41" s="37"/>
      <c r="M41" s="38">
        <f t="shared" ref="M41" si="50">L41*I41</f>
        <v>0</v>
      </c>
      <c r="N41" s="39"/>
      <c r="O41" s="35"/>
      <c r="P41" s="36">
        <f t="shared" ref="P41" si="51">O41*$F41</f>
        <v>0</v>
      </c>
      <c r="Q41" s="37"/>
      <c r="R41" s="38">
        <f t="shared" ref="R41" si="52">Q41*P41</f>
        <v>0</v>
      </c>
      <c r="S41" s="37"/>
      <c r="T41" s="38">
        <f t="shared" ref="T41" si="53">S41*P41</f>
        <v>0</v>
      </c>
      <c r="U41" s="39"/>
      <c r="V41" s="35"/>
      <c r="W41" s="36">
        <f t="shared" ref="W41" si="54">V41*$F41</f>
        <v>0</v>
      </c>
      <c r="X41" s="37"/>
      <c r="Y41" s="38">
        <f t="shared" ref="Y41" si="55">X41*W41</f>
        <v>0</v>
      </c>
      <c r="Z41" s="37"/>
      <c r="AA41" s="38">
        <f t="shared" ref="AA41" si="56">Z41*W41</f>
        <v>0</v>
      </c>
      <c r="AB41" s="39"/>
      <c r="AC41" s="35">
        <v>1</v>
      </c>
      <c r="AD41" s="36">
        <f t="shared" ref="AD41" si="57">AC41*$F41</f>
        <v>161785</v>
      </c>
      <c r="AE41" s="37">
        <v>0.5</v>
      </c>
      <c r="AF41" s="38">
        <f t="shared" ref="AF41" si="58">AE41*AD41</f>
        <v>80892.5</v>
      </c>
      <c r="AG41" s="37">
        <v>0.5</v>
      </c>
      <c r="AH41" s="38">
        <f t="shared" ref="AH41" si="59">AG41*AD41</f>
        <v>80892.5</v>
      </c>
      <c r="AI41" s="39"/>
      <c r="AJ41" s="35"/>
      <c r="AK41" s="36">
        <f t="shared" ref="AK41" si="60">AJ41*$F41</f>
        <v>0</v>
      </c>
      <c r="AL41" s="37"/>
      <c r="AM41" s="38">
        <f t="shared" ref="AM41" si="61">AL41*AK41</f>
        <v>0</v>
      </c>
      <c r="AN41" s="37"/>
      <c r="AO41" s="38">
        <f t="shared" ref="AO41" si="62">AN41*AK41</f>
        <v>0</v>
      </c>
      <c r="AP41" s="39"/>
      <c r="AQ41" s="35"/>
      <c r="AR41" s="36">
        <f t="shared" ref="AR41" si="63">AQ41*$F41</f>
        <v>0</v>
      </c>
      <c r="AS41" s="37"/>
      <c r="AT41" s="38">
        <f t="shared" ref="AT41" si="64">AS41*AR41</f>
        <v>0</v>
      </c>
      <c r="AU41" s="37"/>
      <c r="AV41" s="38">
        <f t="shared" ref="AV41" si="65">AU41*AR41</f>
        <v>0</v>
      </c>
      <c r="AW41" s="39"/>
      <c r="AX41" s="35"/>
      <c r="AY41" s="36">
        <f t="shared" ref="AY41" si="66">AX41*$F41</f>
        <v>0</v>
      </c>
      <c r="AZ41" s="37"/>
      <c r="BA41" s="38">
        <f t="shared" ref="BA41" si="67">AZ41*AY41</f>
        <v>0</v>
      </c>
      <c r="BB41" s="37"/>
      <c r="BC41" s="38">
        <f t="shared" ref="BC41" si="68">BB41*AY41</f>
        <v>0</v>
      </c>
      <c r="BD41" s="39"/>
      <c r="BE41" s="35"/>
      <c r="BF41" s="36">
        <f t="shared" ref="BF41" si="69">BE41*$F41</f>
        <v>0</v>
      </c>
      <c r="BG41" s="37"/>
      <c r="BH41" s="38">
        <f t="shared" ref="BH41" si="70">BG41*BF41</f>
        <v>0</v>
      </c>
      <c r="BI41" s="37"/>
      <c r="BJ41" s="38">
        <f t="shared" ref="BJ41" si="71">BI41*BF41</f>
        <v>0</v>
      </c>
      <c r="BK41" s="40">
        <f t="shared" si="29"/>
        <v>161785</v>
      </c>
      <c r="BL41" s="40">
        <f t="shared" si="30"/>
        <v>161785</v>
      </c>
      <c r="BM41" s="40">
        <f t="shared" si="26"/>
        <v>161785</v>
      </c>
      <c r="BN41" s="15">
        <f t="shared" si="27"/>
        <v>0</v>
      </c>
    </row>
    <row r="42" spans="1:66" x14ac:dyDescent="0.25">
      <c r="B42" s="45"/>
      <c r="C42" s="53"/>
      <c r="D42" s="70"/>
      <c r="E42" s="71"/>
      <c r="F42" s="71"/>
      <c r="G42" s="54"/>
      <c r="H42" s="55"/>
      <c r="I42" s="72"/>
      <c r="J42" s="56"/>
      <c r="K42" s="73"/>
      <c r="L42" s="56"/>
      <c r="M42" s="73"/>
      <c r="N42" s="54"/>
      <c r="O42" s="55"/>
      <c r="P42" s="72"/>
      <c r="Q42" s="56"/>
      <c r="R42" s="73"/>
      <c r="S42" s="56"/>
      <c r="T42" s="73"/>
      <c r="U42" s="54"/>
      <c r="V42" s="55"/>
      <c r="W42" s="72"/>
      <c r="X42" s="56"/>
      <c r="Y42" s="73"/>
      <c r="Z42" s="56"/>
      <c r="AA42" s="73"/>
      <c r="AB42" s="54"/>
      <c r="AC42" s="55"/>
      <c r="AD42" s="72"/>
      <c r="AE42" s="56"/>
      <c r="AF42" s="73"/>
      <c r="AG42" s="56"/>
      <c r="AH42" s="73"/>
      <c r="AI42" s="54"/>
      <c r="AJ42" s="55"/>
      <c r="AK42" s="72"/>
      <c r="AL42" s="56"/>
      <c r="AM42" s="73"/>
      <c r="AN42" s="56"/>
      <c r="AO42" s="73"/>
      <c r="AP42" s="54"/>
      <c r="AQ42" s="55"/>
      <c r="AR42" s="72"/>
      <c r="AS42" s="56"/>
      <c r="AT42" s="73"/>
      <c r="AU42" s="56"/>
      <c r="AV42" s="73"/>
      <c r="AW42" s="54"/>
      <c r="AX42" s="55"/>
      <c r="AY42" s="72"/>
      <c r="AZ42" s="56"/>
      <c r="BA42" s="73"/>
      <c r="BB42" s="56"/>
      <c r="BC42" s="73"/>
      <c r="BD42" s="54"/>
      <c r="BE42" s="55"/>
      <c r="BF42" s="72"/>
      <c r="BG42" s="56"/>
      <c r="BH42" s="73"/>
      <c r="BI42" s="56"/>
      <c r="BJ42" s="73"/>
      <c r="BK42" s="40"/>
      <c r="BL42" s="40"/>
      <c r="BM42" s="40"/>
      <c r="BN42" s="15"/>
    </row>
    <row r="43" spans="1:66" x14ac:dyDescent="0.25">
      <c r="B43" s="45"/>
      <c r="C43" s="53"/>
      <c r="D43" s="70"/>
      <c r="E43" s="71"/>
      <c r="F43" s="71"/>
      <c r="G43" s="54"/>
      <c r="H43" s="55"/>
      <c r="I43" s="72"/>
      <c r="J43" s="56"/>
      <c r="K43" s="73"/>
      <c r="L43" s="56"/>
      <c r="M43" s="73"/>
      <c r="N43" s="54"/>
      <c r="O43" s="55"/>
      <c r="P43" s="72"/>
      <c r="Q43" s="56"/>
      <c r="R43" s="73"/>
      <c r="S43" s="56"/>
      <c r="T43" s="73"/>
      <c r="U43" s="54"/>
      <c r="V43" s="55"/>
      <c r="W43" s="72"/>
      <c r="X43" s="56"/>
      <c r="Y43" s="73"/>
      <c r="Z43" s="56"/>
      <c r="AA43" s="73"/>
      <c r="AB43" s="54"/>
      <c r="AC43" s="55"/>
      <c r="AD43" s="72"/>
      <c r="AE43" s="56"/>
      <c r="AF43" s="73"/>
      <c r="AG43" s="56"/>
      <c r="AH43" s="73"/>
      <c r="AI43" s="54"/>
      <c r="AJ43" s="55"/>
      <c r="AK43" s="72"/>
      <c r="AL43" s="56"/>
      <c r="AM43" s="73"/>
      <c r="AN43" s="56"/>
      <c r="AO43" s="73"/>
      <c r="AP43" s="54"/>
      <c r="AQ43" s="55"/>
      <c r="AR43" s="72"/>
      <c r="AS43" s="56"/>
      <c r="AT43" s="73"/>
      <c r="AU43" s="56"/>
      <c r="AV43" s="73"/>
      <c r="AW43" s="54"/>
      <c r="AX43" s="55"/>
      <c r="AY43" s="72"/>
      <c r="AZ43" s="56"/>
      <c r="BA43" s="73"/>
      <c r="BB43" s="56"/>
      <c r="BC43" s="73"/>
      <c r="BD43" s="54"/>
      <c r="BE43" s="55"/>
      <c r="BF43" s="72"/>
      <c r="BG43" s="56"/>
      <c r="BH43" s="73"/>
      <c r="BI43" s="56"/>
      <c r="BJ43" s="73"/>
      <c r="BK43" s="40"/>
      <c r="BL43" s="40"/>
      <c r="BM43" s="40"/>
      <c r="BN43" s="15"/>
    </row>
    <row r="44" spans="1:66" x14ac:dyDescent="0.25">
      <c r="B44" s="45"/>
      <c r="C44" s="53"/>
      <c r="D44" s="70"/>
      <c r="E44" s="71"/>
      <c r="F44" s="71"/>
      <c r="G44" s="54"/>
      <c r="H44" s="55"/>
      <c r="I44" s="114" t="s">
        <v>175</v>
      </c>
      <c r="J44" s="115"/>
      <c r="K44" s="116"/>
      <c r="L44" s="56"/>
      <c r="N44" s="54"/>
      <c r="O44" s="55"/>
      <c r="P44" s="72"/>
      <c r="Q44" s="56"/>
      <c r="R44" s="73"/>
      <c r="S44" s="56"/>
      <c r="T44" s="73"/>
      <c r="U44" s="54"/>
      <c r="V44" s="55"/>
      <c r="W44" s="72"/>
      <c r="X44" s="56"/>
      <c r="Y44" s="73"/>
      <c r="Z44" s="56"/>
      <c r="AA44" s="73"/>
      <c r="AB44" s="54"/>
      <c r="AC44" s="55"/>
      <c r="AD44" s="72"/>
      <c r="AE44" s="56"/>
      <c r="AF44" s="73"/>
      <c r="AG44" s="56"/>
      <c r="AH44" s="73"/>
      <c r="AI44" s="54"/>
      <c r="AJ44" s="55"/>
      <c r="AK44" s="72"/>
      <c r="AL44" s="56"/>
      <c r="AM44" s="73"/>
      <c r="AN44" s="56"/>
      <c r="AO44" s="73"/>
      <c r="AP44" s="54"/>
      <c r="AQ44" s="55"/>
      <c r="AR44" s="72"/>
      <c r="AS44" s="56"/>
      <c r="AT44" s="73"/>
      <c r="AU44" s="56"/>
      <c r="AV44" s="73"/>
      <c r="AW44" s="54"/>
      <c r="AX44" s="55"/>
      <c r="AY44" s="72"/>
      <c r="AZ44" s="56"/>
      <c r="BA44" s="73"/>
      <c r="BB44" s="56"/>
      <c r="BC44" s="73"/>
      <c r="BD44" s="54"/>
      <c r="BE44" s="55"/>
      <c r="BF44" s="72"/>
      <c r="BG44" s="56"/>
      <c r="BH44" s="73"/>
      <c r="BI44" s="56"/>
      <c r="BJ44" s="73"/>
      <c r="BK44" s="40"/>
      <c r="BL44" s="40"/>
      <c r="BM44" s="40"/>
      <c r="BN44" s="15"/>
    </row>
    <row r="45" spans="1:66" x14ac:dyDescent="0.25">
      <c r="I45" s="113" t="s">
        <v>176</v>
      </c>
      <c r="J45" s="117"/>
      <c r="K45" s="53"/>
      <c r="L45" s="118"/>
    </row>
    <row r="46" spans="1:66" x14ac:dyDescent="0.25">
      <c r="B46" s="74" t="s">
        <v>177</v>
      </c>
      <c r="C46" s="119"/>
      <c r="D46" s="120"/>
      <c r="E46" s="121"/>
      <c r="I46" s="71">
        <v>-180.52631578947367</v>
      </c>
      <c r="J46" s="71"/>
      <c r="K46" s="118"/>
      <c r="L46" s="122"/>
    </row>
    <row r="47" spans="1:66" x14ac:dyDescent="0.25">
      <c r="B47" s="74" t="s">
        <v>178</v>
      </c>
      <c r="C47" s="119"/>
      <c r="D47" s="120"/>
      <c r="E47" s="121"/>
      <c r="I47" s="123">
        <v>-0.39039473684210513</v>
      </c>
      <c r="J47" s="123"/>
      <c r="K47" s="118"/>
      <c r="L47" s="122"/>
    </row>
    <row r="48" spans="1:66" x14ac:dyDescent="0.25">
      <c r="B48" s="74" t="s">
        <v>179</v>
      </c>
      <c r="C48" s="119"/>
      <c r="D48" s="120"/>
      <c r="E48" s="121"/>
      <c r="I48" s="123">
        <v>-0.37018461538461545</v>
      </c>
      <c r="J48" s="123"/>
      <c r="K48" s="118"/>
      <c r="L48" s="122"/>
    </row>
    <row r="49" spans="1:66" x14ac:dyDescent="0.25">
      <c r="B49" s="43" t="s">
        <v>180</v>
      </c>
      <c r="C49" s="119"/>
      <c r="D49" s="120"/>
      <c r="E49" s="121"/>
      <c r="I49" s="123">
        <v>-0.18394000674081565</v>
      </c>
      <c r="J49" s="123"/>
      <c r="K49" s="118"/>
      <c r="L49" s="122"/>
    </row>
    <row r="50" spans="1:66" x14ac:dyDescent="0.25">
      <c r="B50" s="43" t="s">
        <v>181</v>
      </c>
      <c r="C50" s="119"/>
      <c r="D50" s="120"/>
      <c r="E50" s="121"/>
      <c r="I50" s="123">
        <v>-0.22371081900910006</v>
      </c>
      <c r="J50" s="123"/>
      <c r="K50" s="118"/>
      <c r="L50" s="122"/>
    </row>
    <row r="51" spans="1:66" x14ac:dyDescent="0.25">
      <c r="B51" s="43" t="s">
        <v>182</v>
      </c>
      <c r="C51" s="119"/>
      <c r="D51" s="120"/>
      <c r="E51" s="121"/>
      <c r="I51" s="71">
        <v>-460.98461538461538</v>
      </c>
      <c r="J51" s="71"/>
      <c r="K51" s="118"/>
      <c r="L51" s="122"/>
    </row>
    <row r="52" spans="1:66" x14ac:dyDescent="0.25">
      <c r="B52" s="43" t="s">
        <v>183</v>
      </c>
      <c r="C52" s="119"/>
      <c r="D52" s="120"/>
      <c r="E52" s="121"/>
      <c r="I52" s="123">
        <v>-0.36</v>
      </c>
      <c r="J52" s="123"/>
      <c r="K52" s="118"/>
      <c r="L52" s="122"/>
    </row>
    <row r="53" spans="1:66" x14ac:dyDescent="0.25">
      <c r="B53" s="43" t="s">
        <v>184</v>
      </c>
      <c r="C53" s="119"/>
      <c r="D53" s="120"/>
      <c r="E53" s="121"/>
      <c r="I53" s="123">
        <v>-1.7512999999999999</v>
      </c>
      <c r="J53" s="123"/>
      <c r="K53" s="118"/>
      <c r="L53" s="122"/>
    </row>
    <row r="54" spans="1:66" s="62" customFormat="1" x14ac:dyDescent="0.25">
      <c r="A54" s="1"/>
      <c r="B54" s="43" t="s">
        <v>185</v>
      </c>
      <c r="C54" s="119"/>
      <c r="D54" s="120"/>
      <c r="E54" s="121"/>
      <c r="F54" s="65"/>
      <c r="G54" s="66"/>
      <c r="H54" s="67"/>
      <c r="I54" s="123">
        <v>-1.5825</v>
      </c>
      <c r="J54" s="124"/>
      <c r="K54" s="122"/>
      <c r="L54" s="122"/>
      <c r="N54" s="66"/>
      <c r="O54" s="67"/>
      <c r="P54" s="6"/>
      <c r="Q54" s="68"/>
      <c r="R54" s="6"/>
      <c r="S54" s="6"/>
      <c r="T54" s="2"/>
      <c r="U54" s="69"/>
      <c r="V54" s="67"/>
      <c r="W54" s="6"/>
      <c r="X54" s="68"/>
      <c r="Y54" s="6"/>
      <c r="Z54" s="6"/>
      <c r="AA54" s="2"/>
      <c r="AB54" s="69"/>
      <c r="AC54" s="67"/>
      <c r="AD54" s="6"/>
      <c r="AE54" s="68"/>
      <c r="AF54" s="6"/>
      <c r="AG54" s="6"/>
      <c r="AH54" s="2"/>
      <c r="AI54" s="69"/>
      <c r="AJ54" s="67"/>
      <c r="AK54" s="6"/>
      <c r="AL54" s="68"/>
      <c r="AM54" s="6"/>
      <c r="AN54" s="6"/>
      <c r="AO54" s="2"/>
      <c r="AP54" s="69"/>
      <c r="AQ54" s="67"/>
      <c r="AR54" s="6"/>
      <c r="AS54" s="68"/>
      <c r="AT54" s="6"/>
      <c r="AU54" s="6"/>
      <c r="AV54" s="2"/>
      <c r="AW54" s="69"/>
      <c r="AX54" s="67"/>
      <c r="AY54" s="6"/>
      <c r="AZ54" s="68"/>
      <c r="BA54" s="6"/>
      <c r="BB54" s="6"/>
      <c r="BC54" s="2"/>
      <c r="BD54" s="69"/>
      <c r="BE54" s="67"/>
      <c r="BF54" s="6"/>
      <c r="BG54" s="68"/>
      <c r="BH54" s="6"/>
      <c r="BI54" s="6"/>
      <c r="BJ54" s="2"/>
      <c r="BK54" s="5"/>
      <c r="BL54" s="6"/>
      <c r="BM54" s="6"/>
      <c r="BN54" s="2"/>
    </row>
    <row r="55" spans="1:66" x14ac:dyDescent="0.25">
      <c r="B55" s="43" t="s">
        <v>186</v>
      </c>
      <c r="C55" s="119"/>
      <c r="D55" s="120"/>
      <c r="E55" s="121"/>
      <c r="I55" s="123">
        <v>-0.27325581395348836</v>
      </c>
      <c r="J55" s="123"/>
      <c r="K55" s="118"/>
      <c r="L55" s="122"/>
    </row>
    <row r="56" spans="1:66" x14ac:dyDescent="0.25">
      <c r="B56" s="43"/>
      <c r="I56" s="125"/>
      <c r="J56" s="124"/>
      <c r="K56" s="122"/>
      <c r="L56" s="122"/>
    </row>
    <row r="57" spans="1:66" x14ac:dyDescent="0.25">
      <c r="B57" s="74"/>
      <c r="I57" s="118"/>
      <c r="J57" s="124"/>
      <c r="K57" s="122"/>
      <c r="L57" s="122"/>
      <c r="M57" s="125"/>
    </row>
    <row r="58" spans="1:66" x14ac:dyDescent="0.25">
      <c r="B58" s="43"/>
      <c r="I58" s="118"/>
      <c r="J58" s="124"/>
      <c r="K58" s="122"/>
      <c r="L58" s="122"/>
      <c r="M58" s="125"/>
    </row>
  </sheetData>
  <mergeCells count="26">
    <mergeCell ref="AQ1:AV1"/>
    <mergeCell ref="AX1:BC1"/>
    <mergeCell ref="BE1:BJ1"/>
    <mergeCell ref="C2:F2"/>
    <mergeCell ref="J2:K2"/>
    <mergeCell ref="L2:M2"/>
    <mergeCell ref="Q2:R2"/>
    <mergeCell ref="S2:T2"/>
    <mergeCell ref="X2:Y2"/>
    <mergeCell ref="Z2:AA2"/>
    <mergeCell ref="C1:F1"/>
    <mergeCell ref="H1:M1"/>
    <mergeCell ref="O1:T1"/>
    <mergeCell ref="V1:AA1"/>
    <mergeCell ref="AC1:AH1"/>
    <mergeCell ref="AJ1:AO1"/>
    <mergeCell ref="AZ2:BA2"/>
    <mergeCell ref="BB2:BC2"/>
    <mergeCell ref="BG2:BH2"/>
    <mergeCell ref="BI2:BJ2"/>
    <mergeCell ref="AE2:AF2"/>
    <mergeCell ref="AG2:AH2"/>
    <mergeCell ref="AL2:AM2"/>
    <mergeCell ref="AN2:AO2"/>
    <mergeCell ref="AS2:AT2"/>
    <mergeCell ref="AU2:AV2"/>
  </mergeCells>
  <printOptions gridLines="1"/>
  <pageMargins left="0.2" right="0.2" top="0.75" bottom="0.75" header="0.3" footer="0.3"/>
  <pageSetup scale="67" fitToWidth="12" fitToHeight="5" orientation="portrait" r:id="rId1"/>
  <colBreaks count="8" manualBreakCount="8">
    <brk id="6" max="60" man="1"/>
    <brk id="13" max="60" man="1"/>
    <brk id="20" max="60" man="1"/>
    <brk id="27" max="60" man="1"/>
    <brk id="34" max="60" man="1"/>
    <brk id="41" max="60" man="1"/>
    <brk id="48" max="60" man="1"/>
    <brk id="55" max="6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W36"/>
  <sheetViews>
    <sheetView topLeftCell="A13" workbookViewId="0">
      <selection activeCell="O34" sqref="O34:O35"/>
    </sheetView>
  </sheetViews>
  <sheetFormatPr defaultRowHeight="15" x14ac:dyDescent="0.25"/>
  <sheetData>
    <row r="23" spans="1:23" s="135" customFormat="1" x14ac:dyDescent="0.25">
      <c r="A23" s="85" t="s">
        <v>123</v>
      </c>
      <c r="B23" s="86" t="s">
        <v>161</v>
      </c>
      <c r="C23" s="86">
        <v>1</v>
      </c>
      <c r="D23" s="85" t="s">
        <v>68</v>
      </c>
      <c r="E23" s="85" t="s">
        <v>147</v>
      </c>
      <c r="F23" s="91">
        <f>280125*(125/(125+125+225+350+700))</f>
        <v>22961.065573770491</v>
      </c>
      <c r="G23" s="85" t="s">
        <v>126</v>
      </c>
      <c r="H23" s="104">
        <f>I23/F23</f>
        <v>70</v>
      </c>
      <c r="I23" s="133">
        <f>19608750*(125/(125+125+225+350+700))</f>
        <v>1607274.5901639343</v>
      </c>
      <c r="J23" s="85" t="s">
        <v>125</v>
      </c>
      <c r="K23" s="85" t="s">
        <v>64</v>
      </c>
      <c r="L23" s="85" t="s">
        <v>64</v>
      </c>
      <c r="M23" s="85" t="s">
        <v>125</v>
      </c>
      <c r="N23" s="83">
        <f t="shared" ref="N23:O35" si="0">H23</f>
        <v>70</v>
      </c>
      <c r="O23" s="87">
        <f t="shared" si="0"/>
        <v>1607274.5901639343</v>
      </c>
      <c r="P23" s="138" t="s">
        <v>73</v>
      </c>
      <c r="Q23" s="138">
        <v>100</v>
      </c>
      <c r="R23" s="138" t="s">
        <v>169</v>
      </c>
      <c r="S23" s="94" t="s">
        <v>150</v>
      </c>
      <c r="T23" s="137" t="s">
        <v>67</v>
      </c>
      <c r="U23" s="137" t="s">
        <v>101</v>
      </c>
      <c r="V23" s="83" t="str">
        <f t="shared" ref="V23:V36" si="1">A23&amp;C23&amp;D23&amp;E23&amp;F23&amp;G23&amp;H23&amp;J23</f>
        <v>3120000AA11LRBARRY-ASB22961.0655737705SF70SFTNSIDING (ASBESTOS)</v>
      </c>
      <c r="W23" s="83"/>
    </row>
    <row r="24" spans="1:23" s="135" customFormat="1" x14ac:dyDescent="0.25">
      <c r="A24" s="85" t="s">
        <v>123</v>
      </c>
      <c r="B24" s="86" t="s">
        <v>161</v>
      </c>
      <c r="C24" s="86">
        <v>1</v>
      </c>
      <c r="D24" s="85" t="s">
        <v>107</v>
      </c>
      <c r="E24" s="85" t="s">
        <v>147</v>
      </c>
      <c r="F24" s="87">
        <f>(22961.0656*4.1)/2000</f>
        <v>47.070184479999995</v>
      </c>
      <c r="G24" s="85" t="s">
        <v>124</v>
      </c>
      <c r="H24" s="88">
        <v>345.38903725057997</v>
      </c>
      <c r="I24" s="132">
        <f>F24*H24</f>
        <v>16257.52570075439</v>
      </c>
      <c r="J24" s="85" t="s">
        <v>125</v>
      </c>
      <c r="K24" s="85" t="s">
        <v>64</v>
      </c>
      <c r="L24" s="85" t="s">
        <v>64</v>
      </c>
      <c r="M24" s="85" t="s">
        <v>125</v>
      </c>
      <c r="N24" s="83">
        <f t="shared" si="0"/>
        <v>345.38903725057997</v>
      </c>
      <c r="O24" s="87">
        <f t="shared" si="0"/>
        <v>16257.52570075439</v>
      </c>
      <c r="P24" s="138" t="s">
        <v>73</v>
      </c>
      <c r="Q24" s="138">
        <v>100</v>
      </c>
      <c r="R24" s="138" t="s">
        <v>169</v>
      </c>
      <c r="S24" s="94" t="s">
        <v>153</v>
      </c>
      <c r="T24" s="137" t="s">
        <v>67</v>
      </c>
      <c r="U24" s="137" t="s">
        <v>101</v>
      </c>
      <c r="V24" s="83" t="str">
        <f t="shared" si="1"/>
        <v>3120000AA11LDBARRY-ASB47.07018448TN345.38903725058SFTNSIDING (ASBESTOS)</v>
      </c>
      <c r="W24" s="83"/>
    </row>
    <row r="25" spans="1:23" s="135" customFormat="1" x14ac:dyDescent="0.25">
      <c r="A25" s="85" t="s">
        <v>63</v>
      </c>
      <c r="B25" s="86" t="s">
        <v>157</v>
      </c>
      <c r="C25" s="86">
        <v>1</v>
      </c>
      <c r="D25" s="85" t="s">
        <v>68</v>
      </c>
      <c r="E25" s="85" t="s">
        <v>147</v>
      </c>
      <c r="F25" s="87">
        <v>0</v>
      </c>
      <c r="G25" s="85" t="s">
        <v>64</v>
      </c>
      <c r="H25" s="129"/>
      <c r="I25" s="132">
        <v>0</v>
      </c>
      <c r="J25" s="85" t="s">
        <v>65</v>
      </c>
      <c r="K25" s="85" t="s">
        <v>64</v>
      </c>
      <c r="L25" s="85" t="s">
        <v>64</v>
      </c>
      <c r="M25" s="85" t="s">
        <v>64</v>
      </c>
      <c r="N25" s="83">
        <f t="shared" si="0"/>
        <v>0</v>
      </c>
      <c r="O25" s="87">
        <f t="shared" si="0"/>
        <v>0</v>
      </c>
      <c r="P25" s="138" t="s">
        <v>73</v>
      </c>
      <c r="Q25" s="138">
        <v>100</v>
      </c>
      <c r="R25" s="138" t="s">
        <v>169</v>
      </c>
      <c r="S25" s="94" t="s">
        <v>150</v>
      </c>
      <c r="T25" s="137" t="s">
        <v>67</v>
      </c>
      <c r="U25" s="137"/>
      <c r="V25" s="83" t="str">
        <f t="shared" si="1"/>
        <v>304000011LRBARRY-ASB0CONTINGENCY</v>
      </c>
      <c r="W25" s="83"/>
    </row>
    <row r="26" spans="1:23" s="135" customFormat="1" x14ac:dyDescent="0.25">
      <c r="A26" s="85" t="s">
        <v>123</v>
      </c>
      <c r="B26" s="86" t="s">
        <v>161</v>
      </c>
      <c r="C26" s="86">
        <v>2</v>
      </c>
      <c r="D26" s="85" t="s">
        <v>69</v>
      </c>
      <c r="E26" s="85" t="s">
        <v>147</v>
      </c>
      <c r="F26" s="91">
        <f>280125*(125/(125+125+225+350+700))</f>
        <v>22961.065573770491</v>
      </c>
      <c r="G26" s="85" t="s">
        <v>126</v>
      </c>
      <c r="H26" s="104">
        <f>I26/F26</f>
        <v>70</v>
      </c>
      <c r="I26" s="133">
        <f>19608750*(125/(125+125+225+350+700))</f>
        <v>1607274.5901639343</v>
      </c>
      <c r="J26" s="85" t="s">
        <v>125</v>
      </c>
      <c r="K26" s="85" t="s">
        <v>64</v>
      </c>
      <c r="L26" s="85" t="s">
        <v>64</v>
      </c>
      <c r="M26" s="85" t="s">
        <v>125</v>
      </c>
      <c r="N26" s="83">
        <f t="shared" si="0"/>
        <v>70</v>
      </c>
      <c r="O26" s="87">
        <f t="shared" si="0"/>
        <v>1607274.5901639343</v>
      </c>
      <c r="P26" s="138" t="s">
        <v>73</v>
      </c>
      <c r="Q26" s="138">
        <v>100</v>
      </c>
      <c r="R26" s="138" t="s">
        <v>169</v>
      </c>
      <c r="S26" s="94" t="s">
        <v>150</v>
      </c>
      <c r="T26" s="137" t="s">
        <v>67</v>
      </c>
      <c r="U26" s="137" t="s">
        <v>101</v>
      </c>
      <c r="V26" s="83" t="str">
        <f t="shared" si="1"/>
        <v>3120000AA22LRBARRY-ASB22961.0655737705SF70SFTNSIDING (ASBESTOS)</v>
      </c>
      <c r="W26" s="83"/>
    </row>
    <row r="27" spans="1:23" s="135" customFormat="1" x14ac:dyDescent="0.25">
      <c r="A27" s="85" t="s">
        <v>123</v>
      </c>
      <c r="B27" s="86" t="s">
        <v>161</v>
      </c>
      <c r="C27" s="86">
        <v>2</v>
      </c>
      <c r="D27" s="85" t="s">
        <v>109</v>
      </c>
      <c r="E27" s="85" t="s">
        <v>147</v>
      </c>
      <c r="F27" s="87">
        <f>(22961.0656*4.1)/2000</f>
        <v>47.070184479999995</v>
      </c>
      <c r="G27" s="85" t="s">
        <v>124</v>
      </c>
      <c r="H27" s="88">
        <v>345.38903725057997</v>
      </c>
      <c r="I27" s="132">
        <f>F27*H27</f>
        <v>16257.52570075439</v>
      </c>
      <c r="J27" s="85" t="s">
        <v>125</v>
      </c>
      <c r="K27" s="85" t="s">
        <v>64</v>
      </c>
      <c r="L27" s="85" t="s">
        <v>64</v>
      </c>
      <c r="M27" s="85" t="s">
        <v>125</v>
      </c>
      <c r="N27" s="83">
        <f t="shared" si="0"/>
        <v>345.38903725057997</v>
      </c>
      <c r="O27" s="87">
        <f t="shared" si="0"/>
        <v>16257.52570075439</v>
      </c>
      <c r="P27" s="138" t="s">
        <v>73</v>
      </c>
      <c r="Q27" s="138">
        <v>100</v>
      </c>
      <c r="R27" s="138" t="s">
        <v>169</v>
      </c>
      <c r="S27" s="94" t="s">
        <v>153</v>
      </c>
      <c r="T27" s="137" t="s">
        <v>67</v>
      </c>
      <c r="U27" s="137" t="s">
        <v>101</v>
      </c>
      <c r="V27" s="83" t="str">
        <f t="shared" si="1"/>
        <v>3120000AA22LDBARRY-ASB47.07018448TN345.38903725058SFTNSIDING (ASBESTOS)</v>
      </c>
      <c r="W27" s="83"/>
    </row>
    <row r="28" spans="1:23" s="135" customFormat="1" x14ac:dyDescent="0.25">
      <c r="A28" s="85" t="s">
        <v>63</v>
      </c>
      <c r="B28" s="86" t="s">
        <v>157</v>
      </c>
      <c r="C28" s="86">
        <v>2</v>
      </c>
      <c r="D28" s="85" t="s">
        <v>69</v>
      </c>
      <c r="E28" s="85" t="s">
        <v>147</v>
      </c>
      <c r="F28" s="87">
        <v>0</v>
      </c>
      <c r="G28" s="85" t="s">
        <v>64</v>
      </c>
      <c r="H28" s="129"/>
      <c r="I28" s="132">
        <v>0</v>
      </c>
      <c r="J28" s="85" t="s">
        <v>65</v>
      </c>
      <c r="K28" s="85" t="s">
        <v>64</v>
      </c>
      <c r="L28" s="85" t="s">
        <v>64</v>
      </c>
      <c r="M28" s="85" t="s">
        <v>64</v>
      </c>
      <c r="N28" s="83">
        <f t="shared" si="0"/>
        <v>0</v>
      </c>
      <c r="O28" s="87">
        <f t="shared" si="0"/>
        <v>0</v>
      </c>
      <c r="P28" s="138" t="s">
        <v>73</v>
      </c>
      <c r="Q28" s="138">
        <v>100</v>
      </c>
      <c r="R28" s="138" t="s">
        <v>169</v>
      </c>
      <c r="S28" s="94" t="s">
        <v>150</v>
      </c>
      <c r="T28" s="137" t="s">
        <v>67</v>
      </c>
      <c r="U28" s="137"/>
      <c r="V28" s="83" t="str">
        <f t="shared" si="1"/>
        <v>304000022LRBARRY-ASB0CONTINGENCY</v>
      </c>
      <c r="W28" s="83"/>
    </row>
    <row r="29" spans="1:23" s="135" customFormat="1" x14ac:dyDescent="0.25">
      <c r="A29" s="85" t="s">
        <v>93</v>
      </c>
      <c r="B29" s="86" t="s">
        <v>156</v>
      </c>
      <c r="C29" s="86" t="s">
        <v>70</v>
      </c>
      <c r="D29" s="85" t="s">
        <v>71</v>
      </c>
      <c r="E29" s="85" t="s">
        <v>147</v>
      </c>
      <c r="F29" s="87">
        <v>1</v>
      </c>
      <c r="G29" s="85" t="s">
        <v>81</v>
      </c>
      <c r="H29" s="103">
        <f>SUMIFS($I$3:$I$81,$E$3:$E$81,$E29,$U$3:$U$81,"MARKUP",$S$3:$S$81,"REMOVAL")*0.0008</f>
        <v>2571.6393442622948</v>
      </c>
      <c r="I29" s="132">
        <f>F29*H29</f>
        <v>2571.6393442622948</v>
      </c>
      <c r="J29" s="107" t="s">
        <v>94</v>
      </c>
      <c r="K29" s="85" t="s">
        <v>64</v>
      </c>
      <c r="L29" s="85" t="s">
        <v>64</v>
      </c>
      <c r="M29" s="85" t="s">
        <v>94</v>
      </c>
      <c r="N29" s="83">
        <f t="shared" si="0"/>
        <v>2571.6393442622948</v>
      </c>
      <c r="O29" s="87">
        <f t="shared" si="0"/>
        <v>2571.6393442622948</v>
      </c>
      <c r="P29" s="138" t="s">
        <v>73</v>
      </c>
      <c r="Q29" s="138">
        <v>100</v>
      </c>
      <c r="R29" s="138" t="s">
        <v>169</v>
      </c>
      <c r="S29" s="94" t="s">
        <v>150</v>
      </c>
      <c r="T29" s="137" t="s">
        <v>67</v>
      </c>
      <c r="U29" s="137"/>
      <c r="V29" s="83" t="str">
        <f t="shared" si="1"/>
        <v>3080268CCLRBARRY-ASB1LT2571.63934426229PERMITS</v>
      </c>
      <c r="W29" s="83"/>
    </row>
    <row r="30" spans="1:23" s="135" customFormat="1" x14ac:dyDescent="0.25">
      <c r="A30" s="110">
        <v>3080241</v>
      </c>
      <c r="B30" s="86" t="s">
        <v>156</v>
      </c>
      <c r="C30" s="86" t="s">
        <v>70</v>
      </c>
      <c r="D30" s="85" t="s">
        <v>71</v>
      </c>
      <c r="E30" s="85" t="s">
        <v>147</v>
      </c>
      <c r="F30" s="87">
        <v>1</v>
      </c>
      <c r="G30" s="85" t="s">
        <v>14</v>
      </c>
      <c r="H30" s="103">
        <f>SUMIFS($I$3:$I$81,$E$3:$E$81,$E30,$U$3:$U$81,"MARKUP",$S$3:$S$81,"REMOVAL")*0.01</f>
        <v>32145.491803278685</v>
      </c>
      <c r="I30" s="132">
        <f>F30*H30</f>
        <v>32145.491803278685</v>
      </c>
      <c r="J30" s="109" t="s">
        <v>89</v>
      </c>
      <c r="K30" s="85" t="s">
        <v>64</v>
      </c>
      <c r="L30" s="85" t="s">
        <v>64</v>
      </c>
      <c r="M30" s="85" t="s">
        <v>92</v>
      </c>
      <c r="N30" s="83">
        <f t="shared" si="0"/>
        <v>32145.491803278685</v>
      </c>
      <c r="O30" s="87">
        <f t="shared" si="0"/>
        <v>32145.491803278685</v>
      </c>
      <c r="P30" s="138" t="s">
        <v>73</v>
      </c>
      <c r="Q30" s="138">
        <v>100</v>
      </c>
      <c r="R30" s="138" t="s">
        <v>169</v>
      </c>
      <c r="S30" s="94" t="s">
        <v>150</v>
      </c>
      <c r="T30" s="137" t="s">
        <v>67</v>
      </c>
      <c r="U30" s="137"/>
      <c r="V30" s="83" t="str">
        <f t="shared" si="1"/>
        <v>3080241CCLRBARRY-ASB1%32145.4918032787SCS ENGINEERING</v>
      </c>
      <c r="W30" s="83"/>
    </row>
    <row r="31" spans="1:23" s="135" customFormat="1" x14ac:dyDescent="0.25">
      <c r="A31" s="85" t="s">
        <v>78</v>
      </c>
      <c r="B31" s="86" t="s">
        <v>158</v>
      </c>
      <c r="C31" s="86" t="s">
        <v>70</v>
      </c>
      <c r="D31" s="85" t="s">
        <v>71</v>
      </c>
      <c r="E31" s="85" t="s">
        <v>147</v>
      </c>
      <c r="F31" s="105">
        <v>1</v>
      </c>
      <c r="G31" s="85" t="s">
        <v>14</v>
      </c>
      <c r="H31" s="112">
        <f>SUMIFS($I$3:$I$81,$E$3:$E$81,$E31,$U$3:$U$81,"MARKUP",$S$3:$S$81,"REMOVAL")*0.01</f>
        <v>32145.491803278685</v>
      </c>
      <c r="I31" s="132">
        <f>F31*H31</f>
        <v>32145.491803278685</v>
      </c>
      <c r="J31" s="107" t="s">
        <v>79</v>
      </c>
      <c r="K31" s="85" t="s">
        <v>64</v>
      </c>
      <c r="L31" s="85" t="s">
        <v>64</v>
      </c>
      <c r="M31" s="85" t="s">
        <v>79</v>
      </c>
      <c r="N31" s="83">
        <f t="shared" si="0"/>
        <v>32145.491803278685</v>
      </c>
      <c r="O31" s="87">
        <f t="shared" si="0"/>
        <v>32145.491803278685</v>
      </c>
      <c r="P31" s="138" t="s">
        <v>73</v>
      </c>
      <c r="Q31" s="138">
        <v>100</v>
      </c>
      <c r="R31" s="138" t="s">
        <v>169</v>
      </c>
      <c r="S31" s="94" t="s">
        <v>150</v>
      </c>
      <c r="T31" s="137" t="s">
        <v>67</v>
      </c>
      <c r="U31" s="137"/>
      <c r="V31" s="83" t="str">
        <f t="shared" si="1"/>
        <v>3070201CCLRBARRY-ASB1%32145.4918032787TEMPORARY CONSTRUCTION SERVICES</v>
      </c>
      <c r="W31" s="83"/>
    </row>
    <row r="32" spans="1:23" s="135" customFormat="1" x14ac:dyDescent="0.25">
      <c r="A32" s="85" t="s">
        <v>96</v>
      </c>
      <c r="B32" s="86" t="s">
        <v>156</v>
      </c>
      <c r="C32" s="86" t="s">
        <v>70</v>
      </c>
      <c r="D32" s="85" t="s">
        <v>71</v>
      </c>
      <c r="E32" s="85" t="s">
        <v>147</v>
      </c>
      <c r="F32" s="87">
        <v>0.6</v>
      </c>
      <c r="G32" s="85" t="s">
        <v>14</v>
      </c>
      <c r="H32" s="112">
        <f>SUMIFS($I$3:$I$81,$E$3:$E$81,$E32,$U$3:$U$81,"MARKUP",$S$3:$S$81,"REMOVAL")*0.01</f>
        <v>32145.491803278685</v>
      </c>
      <c r="I32" s="132">
        <f>F32*H32</f>
        <v>19287.295081967211</v>
      </c>
      <c r="J32" s="107" t="s">
        <v>97</v>
      </c>
      <c r="K32" s="85" t="s">
        <v>64</v>
      </c>
      <c r="L32" s="85" t="s">
        <v>64</v>
      </c>
      <c r="M32" s="85" t="s">
        <v>97</v>
      </c>
      <c r="N32" s="83">
        <f t="shared" si="0"/>
        <v>32145.491803278685</v>
      </c>
      <c r="O32" s="87">
        <f t="shared" si="0"/>
        <v>19287.295081967211</v>
      </c>
      <c r="P32" s="138" t="s">
        <v>73</v>
      </c>
      <c r="Q32" s="138">
        <v>100</v>
      </c>
      <c r="R32" s="138" t="s">
        <v>169</v>
      </c>
      <c r="S32" s="94" t="s">
        <v>150</v>
      </c>
      <c r="T32" s="137" t="s">
        <v>67</v>
      </c>
      <c r="U32" s="137"/>
      <c r="V32" s="83" t="str">
        <f t="shared" si="1"/>
        <v>3080361CCLRBARRY-ASB0.6%32145.4918032787WRAP-UP AND ALL-RISK INSURANCE</v>
      </c>
      <c r="W32" s="83"/>
    </row>
    <row r="33" spans="1:23" s="135" customFormat="1" x14ac:dyDescent="0.25">
      <c r="A33" s="85" t="s">
        <v>98</v>
      </c>
      <c r="B33" s="86" t="s">
        <v>154</v>
      </c>
      <c r="C33" s="86" t="s">
        <v>70</v>
      </c>
      <c r="D33" s="85" t="s">
        <v>71</v>
      </c>
      <c r="E33" s="85" t="s">
        <v>147</v>
      </c>
      <c r="F33" s="87">
        <v>1</v>
      </c>
      <c r="G33" s="85" t="s">
        <v>14</v>
      </c>
      <c r="H33" s="112">
        <f>SUMIFS($I$3:$I$81,$E$3:$E$81,$E33,$U$3:$U$81,"MARKUP",$S$3:$S$81,"REMOVAL")*0.01</f>
        <v>32145.491803278685</v>
      </c>
      <c r="I33" s="132">
        <f>F33*H33</f>
        <v>32145.491803278685</v>
      </c>
      <c r="J33" s="107" t="s">
        <v>99</v>
      </c>
      <c r="K33" s="85" t="s">
        <v>64</v>
      </c>
      <c r="L33" s="85" t="s">
        <v>64</v>
      </c>
      <c r="M33" s="85" t="s">
        <v>99</v>
      </c>
      <c r="N33" s="83">
        <f t="shared" si="0"/>
        <v>32145.491803278685</v>
      </c>
      <c r="O33" s="87">
        <f t="shared" si="0"/>
        <v>32145.491803278685</v>
      </c>
      <c r="P33" s="138" t="s">
        <v>73</v>
      </c>
      <c r="Q33" s="138">
        <v>100</v>
      </c>
      <c r="R33" s="138" t="s">
        <v>169</v>
      </c>
      <c r="S33" s="94" t="s">
        <v>150</v>
      </c>
      <c r="T33" s="137" t="s">
        <v>67</v>
      </c>
      <c r="U33" s="137"/>
      <c r="V33" s="83" t="str">
        <f t="shared" si="1"/>
        <v>3090481CCLRBARRY-ASB1%32145.4918032787ADMINISTRATIVE &amp; GENERAL OVERHEAD</v>
      </c>
      <c r="W33" s="83"/>
    </row>
    <row r="34" spans="1:23" s="135" customFormat="1" x14ac:dyDescent="0.25">
      <c r="A34" s="85" t="s">
        <v>63</v>
      </c>
      <c r="B34" s="86" t="s">
        <v>157</v>
      </c>
      <c r="C34" s="111" t="s">
        <v>70</v>
      </c>
      <c r="D34" s="108" t="s">
        <v>71</v>
      </c>
      <c r="E34" s="85" t="s">
        <v>147</v>
      </c>
      <c r="F34" s="87">
        <v>0</v>
      </c>
      <c r="G34" s="85" t="s">
        <v>64</v>
      </c>
      <c r="H34" s="129"/>
      <c r="I34" s="132">
        <v>0</v>
      </c>
      <c r="J34" s="85" t="s">
        <v>65</v>
      </c>
      <c r="K34" s="85" t="s">
        <v>64</v>
      </c>
      <c r="L34" s="85" t="s">
        <v>64</v>
      </c>
      <c r="M34" s="85" t="s">
        <v>64</v>
      </c>
      <c r="N34" s="83">
        <f t="shared" si="0"/>
        <v>0</v>
      </c>
      <c r="O34" s="87">
        <f t="shared" si="0"/>
        <v>0</v>
      </c>
      <c r="P34" s="138" t="s">
        <v>73</v>
      </c>
      <c r="Q34" s="138">
        <v>100</v>
      </c>
      <c r="R34" s="138" t="s">
        <v>169</v>
      </c>
      <c r="S34" s="94" t="s">
        <v>150</v>
      </c>
      <c r="T34" s="137" t="s">
        <v>67</v>
      </c>
      <c r="U34" s="137"/>
      <c r="V34" s="83" t="str">
        <f t="shared" si="1"/>
        <v>3040000CCLRBARRY-ASB0CONTINGENCY</v>
      </c>
      <c r="W34" s="83"/>
    </row>
    <row r="35" spans="1:23" s="135" customFormat="1" x14ac:dyDescent="0.25">
      <c r="A35" s="85" t="s">
        <v>103</v>
      </c>
      <c r="B35" s="86" t="s">
        <v>155</v>
      </c>
      <c r="C35" s="86" t="s">
        <v>70</v>
      </c>
      <c r="D35" s="85" t="s">
        <v>71</v>
      </c>
      <c r="E35" s="85" t="s">
        <v>148</v>
      </c>
      <c r="F35" s="91">
        <v>596</v>
      </c>
      <c r="G35" s="85" t="s">
        <v>104</v>
      </c>
      <c r="H35" s="112">
        <f>I35/F35</f>
        <v>32100.518489727314</v>
      </c>
      <c r="I35" s="133">
        <v>19131909.019877478</v>
      </c>
      <c r="J35" s="85" t="s">
        <v>105</v>
      </c>
      <c r="K35" s="85" t="s">
        <v>64</v>
      </c>
      <c r="L35" s="85" t="s">
        <v>64</v>
      </c>
      <c r="M35" s="85" t="s">
        <v>105</v>
      </c>
      <c r="N35" s="83">
        <f>H35</f>
        <v>32100.518489727314</v>
      </c>
      <c r="O35" s="87">
        <f t="shared" si="0"/>
        <v>19131909.019877478</v>
      </c>
      <c r="P35" s="138" t="s">
        <v>74</v>
      </c>
      <c r="Q35" s="138">
        <v>100</v>
      </c>
      <c r="R35" s="138" t="s">
        <v>169</v>
      </c>
      <c r="S35" s="94" t="s">
        <v>150</v>
      </c>
      <c r="T35" s="137" t="s">
        <v>67</v>
      </c>
      <c r="U35" s="137"/>
      <c r="V35" s="83" t="str">
        <f t="shared" si="1"/>
        <v>3110230CCLRBARRY-ASH596AC32100.5184897273Ash Disposal Pond</v>
      </c>
      <c r="W35" s="83"/>
    </row>
    <row r="36" spans="1:23" s="135" customFormat="1" x14ac:dyDescent="0.25">
      <c r="A36" s="85" t="s">
        <v>63</v>
      </c>
      <c r="B36" s="86" t="s">
        <v>157</v>
      </c>
      <c r="C36" s="86" t="s">
        <v>70</v>
      </c>
      <c r="D36" s="85" t="s">
        <v>71</v>
      </c>
      <c r="E36" s="85" t="s">
        <v>148</v>
      </c>
      <c r="F36" s="87">
        <v>0</v>
      </c>
      <c r="G36" s="85" t="s">
        <v>64</v>
      </c>
      <c r="H36" s="129"/>
      <c r="I36" s="132">
        <v>0</v>
      </c>
      <c r="J36" s="85" t="s">
        <v>65</v>
      </c>
      <c r="K36" s="85" t="s">
        <v>64</v>
      </c>
      <c r="L36" s="85" t="s">
        <v>64</v>
      </c>
      <c r="M36" s="85" t="s">
        <v>64</v>
      </c>
      <c r="N36" s="83">
        <f>H36</f>
        <v>0</v>
      </c>
      <c r="O36" s="87">
        <f>I36</f>
        <v>0</v>
      </c>
      <c r="P36" s="138" t="s">
        <v>74</v>
      </c>
      <c r="Q36" s="138">
        <v>100</v>
      </c>
      <c r="R36" s="138" t="s">
        <v>169</v>
      </c>
      <c r="S36" s="94" t="s">
        <v>150</v>
      </c>
      <c r="T36" s="137" t="s">
        <v>67</v>
      </c>
      <c r="U36" s="137"/>
      <c r="V36" s="83" t="str">
        <f t="shared" si="1"/>
        <v>3040000CCLRBARRY-ASH0CONTINGENCY</v>
      </c>
      <c r="W36" s="8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2"/>
  <sheetViews>
    <sheetView zoomScale="90" zoomScaleNormal="90" workbookViewId="0">
      <selection activeCell="A18" sqref="A18:I30"/>
    </sheetView>
  </sheetViews>
  <sheetFormatPr defaultRowHeight="15" x14ac:dyDescent="0.25"/>
  <cols>
    <col min="1" max="1" width="9.140625" style="144"/>
    <col min="2" max="2" width="82.28515625" style="144" bestFit="1" customWidth="1"/>
    <col min="3" max="5" width="9.140625" style="144"/>
    <col min="6" max="6" width="11.85546875" style="144" bestFit="1" customWidth="1"/>
    <col min="7" max="8" width="9.140625" style="144"/>
    <col min="9" max="9" width="10.28515625" style="144" customWidth="1"/>
    <col min="10" max="10" width="9.140625" style="144"/>
    <col min="11" max="11" width="8.5703125" style="144" bestFit="1" customWidth="1"/>
    <col min="12" max="12" width="9.140625" style="144"/>
    <col min="13" max="13" width="8.42578125" style="144" bestFit="1" customWidth="1"/>
    <col min="14" max="14" width="9.140625" style="144"/>
    <col min="15" max="15" width="11.7109375" style="144" bestFit="1" customWidth="1"/>
    <col min="16" max="16" width="9.140625" style="144"/>
    <col min="17" max="17" width="10.140625" style="144" bestFit="1" customWidth="1"/>
    <col min="18" max="19" width="9.140625" style="144"/>
    <col min="20" max="20" width="105.140625" style="144" bestFit="1" customWidth="1"/>
    <col min="21" max="32" width="9.140625" style="144"/>
    <col min="33" max="33" width="9.7109375" style="144" bestFit="1" customWidth="1"/>
    <col min="34" max="34" width="4.5703125" style="144" bestFit="1" customWidth="1"/>
    <col min="35" max="35" width="9.7109375" style="144" bestFit="1" customWidth="1"/>
    <col min="36" max="16384" width="9.140625" style="144"/>
  </cols>
  <sheetData>
    <row r="1" spans="1:36" x14ac:dyDescent="0.25">
      <c r="A1" s="1"/>
      <c r="B1" s="2"/>
      <c r="C1" s="62"/>
      <c r="D1" s="63"/>
      <c r="E1" s="64"/>
      <c r="F1" s="65" t="e">
        <f>#REF!+#REF!+#REF!</f>
        <v>#REF!</v>
      </c>
      <c r="G1" s="66"/>
      <c r="H1" s="67"/>
      <c r="I1" s="62"/>
      <c r="J1" s="68"/>
      <c r="K1" s="6"/>
      <c r="L1" s="6"/>
      <c r="M1" s="2"/>
      <c r="N1" s="6"/>
      <c r="O1" s="6"/>
      <c r="P1" s="6"/>
      <c r="Q1" s="2"/>
      <c r="R1" s="66"/>
      <c r="S1" s="67"/>
      <c r="T1" s="6"/>
      <c r="U1" s="68"/>
      <c r="V1" s="6"/>
      <c r="W1" s="6"/>
      <c r="X1" s="2"/>
      <c r="Y1" s="6"/>
      <c r="Z1" s="6"/>
      <c r="AA1" s="6"/>
      <c r="AB1" s="2"/>
      <c r="AC1" s="69"/>
      <c r="AD1" s="67"/>
      <c r="AE1" s="6"/>
      <c r="AF1" s="68"/>
      <c r="AG1" s="6"/>
      <c r="AH1" s="6"/>
      <c r="AI1" s="2"/>
      <c r="AJ1" s="6"/>
    </row>
    <row r="2" spans="1:36" x14ac:dyDescent="0.25">
      <c r="A2" s="1"/>
      <c r="B2" s="2"/>
      <c r="C2" s="62"/>
      <c r="D2" s="63"/>
      <c r="E2" s="64"/>
      <c r="F2" s="65">
        <v>11328802</v>
      </c>
      <c r="G2" s="66"/>
      <c r="H2" s="67"/>
      <c r="I2" s="62"/>
      <c r="J2" s="68"/>
      <c r="K2" s="6"/>
      <c r="L2" s="6"/>
      <c r="M2" s="2"/>
      <c r="N2" s="6"/>
      <c r="O2" s="145">
        <v>42314</v>
      </c>
      <c r="P2" s="6"/>
      <c r="Q2" s="145">
        <f>O2</f>
        <v>42314</v>
      </c>
      <c r="R2" s="66"/>
      <c r="S2" s="67"/>
      <c r="T2" s="6"/>
      <c r="U2" s="68"/>
      <c r="V2" s="6"/>
      <c r="W2" s="6"/>
      <c r="X2" s="2"/>
      <c r="Y2" s="6"/>
      <c r="Z2" s="6"/>
      <c r="AA2" s="6"/>
      <c r="AB2" s="2"/>
      <c r="AC2" s="69"/>
      <c r="AD2" s="67"/>
      <c r="AE2" s="6"/>
      <c r="AF2" s="68"/>
      <c r="AG2" s="145">
        <v>42369</v>
      </c>
      <c r="AH2" s="6"/>
      <c r="AI2" s="145">
        <v>42369</v>
      </c>
      <c r="AJ2" s="6"/>
    </row>
    <row r="3" spans="1:36" x14ac:dyDescent="0.25">
      <c r="A3" s="1"/>
      <c r="B3" s="45"/>
      <c r="C3" s="53"/>
      <c r="D3" s="70"/>
      <c r="E3" s="71"/>
      <c r="F3" s="71" t="e">
        <f>F1-F2</f>
        <v>#REF!</v>
      </c>
      <c r="G3" s="54"/>
      <c r="H3" s="55"/>
      <c r="I3" s="114" t="s">
        <v>175</v>
      </c>
      <c r="J3" s="68"/>
      <c r="K3" s="6"/>
      <c r="L3" s="6"/>
      <c r="M3" s="2"/>
      <c r="N3" s="6"/>
      <c r="O3" s="114" t="s">
        <v>175</v>
      </c>
      <c r="P3" s="6"/>
      <c r="Q3" s="146" t="s">
        <v>197</v>
      </c>
      <c r="R3" s="66"/>
      <c r="S3" s="67"/>
      <c r="T3" s="6"/>
      <c r="U3" s="68"/>
      <c r="V3" s="6"/>
      <c r="W3" s="6"/>
      <c r="X3" s="2"/>
      <c r="Y3" s="6"/>
      <c r="Z3" s="6"/>
      <c r="AA3" s="6"/>
      <c r="AB3" s="2"/>
      <c r="AC3" s="69"/>
      <c r="AD3" s="67"/>
      <c r="AE3" s="6"/>
      <c r="AF3" s="68"/>
      <c r="AG3" s="114" t="s">
        <v>175</v>
      </c>
      <c r="AH3" s="6"/>
      <c r="AI3" s="114" t="s">
        <v>197</v>
      </c>
      <c r="AJ3" s="6"/>
    </row>
    <row r="4" spans="1:36" x14ac:dyDescent="0.25">
      <c r="A4" s="1"/>
      <c r="B4" s="2"/>
      <c r="C4" s="62"/>
      <c r="D4" s="63"/>
      <c r="E4" s="64"/>
      <c r="F4" s="65"/>
      <c r="G4" s="66"/>
      <c r="H4" s="67"/>
      <c r="I4" s="143" t="s">
        <v>176</v>
      </c>
      <c r="J4" s="68"/>
      <c r="K4" s="6"/>
      <c r="L4" s="6"/>
      <c r="M4" s="2" t="s">
        <v>198</v>
      </c>
      <c r="N4" s="6"/>
      <c r="O4" s="143" t="s">
        <v>176</v>
      </c>
      <c r="P4" s="6"/>
      <c r="Q4" s="146" t="s">
        <v>176</v>
      </c>
      <c r="R4" s="66"/>
      <c r="S4" s="67"/>
      <c r="T4" s="147" t="s">
        <v>199</v>
      </c>
      <c r="U4" s="68"/>
      <c r="V4" s="6"/>
      <c r="W4" s="6"/>
      <c r="X4" s="2"/>
      <c r="Y4" s="6"/>
      <c r="Z4" s="6"/>
      <c r="AA4" s="6"/>
      <c r="AB4" s="2"/>
      <c r="AC4" s="69"/>
      <c r="AD4" s="67"/>
      <c r="AE4" s="6"/>
      <c r="AF4" s="68"/>
      <c r="AG4" s="143" t="s">
        <v>176</v>
      </c>
      <c r="AH4" s="6"/>
      <c r="AI4" s="143" t="s">
        <v>176</v>
      </c>
      <c r="AJ4" s="6"/>
    </row>
    <row r="5" spans="1:36" x14ac:dyDescent="0.25">
      <c r="A5" s="1"/>
      <c r="B5" s="74" t="s">
        <v>177</v>
      </c>
      <c r="C5" s="62"/>
      <c r="D5" s="63"/>
      <c r="E5" s="64"/>
      <c r="F5" s="148">
        <v>245</v>
      </c>
      <c r="G5" s="66"/>
      <c r="H5" s="67"/>
      <c r="I5" s="141">
        <v>-180.52631578947367</v>
      </c>
      <c r="J5" s="68"/>
      <c r="K5" s="149">
        <f>-I5/F5</f>
        <v>0.73684210526315785</v>
      </c>
      <c r="L5" s="150"/>
      <c r="M5" s="151">
        <f>I5-Q5</f>
        <v>-56.736315789473664</v>
      </c>
      <c r="N5" s="6"/>
      <c r="O5" s="152">
        <v>168</v>
      </c>
      <c r="P5" s="6"/>
      <c r="Q5" s="148">
        <f t="shared" ref="Q5:Q6" si="0">IF(O5="","",ROUND(O5*-K5,2))</f>
        <v>-123.79</v>
      </c>
      <c r="R5" s="66"/>
      <c r="S5" s="67"/>
      <c r="T5" s="153" t="s">
        <v>200</v>
      </c>
      <c r="U5" s="68"/>
      <c r="V5" s="6"/>
      <c r="W5" s="6"/>
      <c r="X5" s="2"/>
      <c r="Y5" s="6"/>
      <c r="Z5" s="6"/>
      <c r="AA5" s="6"/>
      <c r="AB5" s="2"/>
      <c r="AC5" s="69"/>
      <c r="AD5" s="67"/>
      <c r="AE5" s="6"/>
      <c r="AF5" s="68"/>
      <c r="AG5" s="154">
        <f>0.092*2000</f>
        <v>184</v>
      </c>
      <c r="AH5" s="6" t="s">
        <v>201</v>
      </c>
      <c r="AI5" s="148">
        <f>AG5*K5</f>
        <v>135.57894736842104</v>
      </c>
      <c r="AJ5" s="6"/>
    </row>
    <row r="6" spans="1:36" x14ac:dyDescent="0.25">
      <c r="A6" s="1"/>
      <c r="B6" s="74" t="s">
        <v>178</v>
      </c>
      <c r="C6" s="62"/>
      <c r="D6" s="63"/>
      <c r="E6" s="64"/>
      <c r="F6" s="148">
        <v>0.69</v>
      </c>
      <c r="G6" s="66"/>
      <c r="H6" s="67"/>
      <c r="I6" s="142">
        <v>-0.39039473684210513</v>
      </c>
      <c r="J6" s="68"/>
      <c r="K6" s="149">
        <f t="shared" ref="K6:K14" si="1">-I6/F6</f>
        <v>0.5657894736842104</v>
      </c>
      <c r="L6" s="150"/>
      <c r="M6" s="151">
        <f t="shared" ref="M6:M14" si="2">I6-Q6</f>
        <v>-1.0394736842105123E-2</v>
      </c>
      <c r="N6" s="6"/>
      <c r="O6" s="152">
        <v>0.67</v>
      </c>
      <c r="P6" s="6"/>
      <c r="Q6" s="148">
        <f t="shared" si="0"/>
        <v>-0.38</v>
      </c>
      <c r="R6" s="66"/>
      <c r="S6" s="67"/>
      <c r="T6" s="153" t="s">
        <v>202</v>
      </c>
      <c r="U6" s="68"/>
      <c r="V6" s="6"/>
      <c r="W6" s="6"/>
      <c r="X6" s="2"/>
      <c r="Y6" s="6"/>
      <c r="Z6" s="6"/>
      <c r="AA6" s="6"/>
      <c r="AB6" s="2"/>
      <c r="AC6" s="69"/>
      <c r="AD6" s="67"/>
      <c r="AE6" s="6"/>
      <c r="AF6" s="68"/>
      <c r="AG6" s="152">
        <v>0.68289999999999995</v>
      </c>
      <c r="AH6" s="6"/>
      <c r="AI6" s="148">
        <f t="shared" ref="AI6:AI14" si="3">AG6*K6</f>
        <v>0.38637763157894728</v>
      </c>
      <c r="AJ6" s="6"/>
    </row>
    <row r="7" spans="1:36" x14ac:dyDescent="0.25">
      <c r="A7" s="1"/>
      <c r="B7" s="74" t="s">
        <v>179</v>
      </c>
      <c r="C7" s="62"/>
      <c r="D7" s="63"/>
      <c r="E7" s="64"/>
      <c r="F7" s="148">
        <v>2.27</v>
      </c>
      <c r="G7" s="66"/>
      <c r="H7" s="67"/>
      <c r="I7" s="142">
        <v>-0.37018461538461545</v>
      </c>
      <c r="J7" s="68"/>
      <c r="K7" s="149">
        <f t="shared" si="1"/>
        <v>0.16307692307692309</v>
      </c>
      <c r="L7" s="150"/>
      <c r="M7" s="151">
        <f t="shared" si="2"/>
        <v>-1.8461538461544968E-4</v>
      </c>
      <c r="N7" s="6"/>
      <c r="O7" s="152">
        <v>2.29</v>
      </c>
      <c r="P7" s="6"/>
      <c r="Q7" s="148">
        <f>IF(O7="","",ROUND(O7*-K7,2))</f>
        <v>-0.37</v>
      </c>
      <c r="R7" s="66"/>
      <c r="S7" s="67"/>
      <c r="T7" s="153" t="s">
        <v>203</v>
      </c>
      <c r="U7" s="68"/>
      <c r="V7" s="6"/>
      <c r="W7" s="6"/>
      <c r="X7" s="2"/>
      <c r="Y7" s="6"/>
      <c r="Z7" s="6"/>
      <c r="AA7" s="6"/>
      <c r="AB7" s="2"/>
      <c r="AC7" s="69"/>
      <c r="AD7" s="67"/>
      <c r="AE7" s="6"/>
      <c r="AF7" s="68"/>
      <c r="AG7" s="152">
        <v>2.2759</v>
      </c>
      <c r="AH7" s="6" t="s">
        <v>201</v>
      </c>
      <c r="AI7" s="148">
        <f t="shared" si="3"/>
        <v>0.37114676923076928</v>
      </c>
      <c r="AJ7" s="6"/>
    </row>
    <row r="8" spans="1:36" x14ac:dyDescent="0.25">
      <c r="A8" s="1"/>
      <c r="B8" s="43" t="s">
        <v>180</v>
      </c>
      <c r="C8" s="62"/>
      <c r="D8" s="63"/>
      <c r="E8" s="64"/>
      <c r="F8" s="148">
        <v>0.5</v>
      </c>
      <c r="G8" s="66"/>
      <c r="H8" s="67"/>
      <c r="I8" s="142">
        <v>-0.18394000674081565</v>
      </c>
      <c r="J8" s="68"/>
      <c r="K8" s="149">
        <f t="shared" si="1"/>
        <v>0.3678800134816313</v>
      </c>
      <c r="L8" s="150"/>
      <c r="M8" s="151">
        <f t="shared" si="2"/>
        <v>-2.3940006740815645E-2</v>
      </c>
      <c r="N8" s="6"/>
      <c r="O8" s="152">
        <v>0.44</v>
      </c>
      <c r="P8" s="6"/>
      <c r="Q8" s="148">
        <f t="shared" ref="Q8:Q14" si="4">IF(O8="","",ROUND(O8*-K8,2))</f>
        <v>-0.16</v>
      </c>
      <c r="R8" s="66"/>
      <c r="S8" s="67"/>
      <c r="T8" s="153" t="s">
        <v>204</v>
      </c>
      <c r="U8" s="68"/>
      <c r="V8" s="6"/>
      <c r="W8" s="6"/>
      <c r="X8" s="2"/>
      <c r="Y8" s="6"/>
      <c r="Z8" s="6"/>
      <c r="AA8" s="6"/>
      <c r="AB8" s="2"/>
      <c r="AC8" s="69"/>
      <c r="AD8" s="67"/>
      <c r="AE8" s="6"/>
      <c r="AF8" s="68"/>
      <c r="AG8" s="154"/>
      <c r="AH8" s="6"/>
      <c r="AI8" s="148">
        <f t="shared" si="3"/>
        <v>0</v>
      </c>
      <c r="AJ8" s="6"/>
    </row>
    <row r="9" spans="1:36" x14ac:dyDescent="0.25">
      <c r="A9" s="1"/>
      <c r="B9" s="43" t="s">
        <v>181</v>
      </c>
      <c r="C9" s="62"/>
      <c r="D9" s="63"/>
      <c r="E9" s="64"/>
      <c r="F9" s="148">
        <v>0.5</v>
      </c>
      <c r="G9" s="66"/>
      <c r="H9" s="67"/>
      <c r="I9" s="123">
        <v>-0.22371081900910006</v>
      </c>
      <c r="J9" s="68"/>
      <c r="K9" s="149">
        <f t="shared" si="1"/>
        <v>0.44742163801820012</v>
      </c>
      <c r="L9" s="150"/>
      <c r="M9" s="151">
        <f t="shared" si="2"/>
        <v>-2.3710819009100048E-2</v>
      </c>
      <c r="N9" s="6"/>
      <c r="O9" s="152">
        <v>0.44</v>
      </c>
      <c r="P9" s="6"/>
      <c r="Q9" s="148">
        <f t="shared" si="4"/>
        <v>-0.2</v>
      </c>
      <c r="R9" s="66"/>
      <c r="S9" s="67"/>
      <c r="T9" s="153" t="s">
        <v>204</v>
      </c>
      <c r="U9" s="68"/>
      <c r="V9" s="6"/>
      <c r="W9" s="6"/>
      <c r="X9" s="2"/>
      <c r="Y9" s="6"/>
      <c r="Z9" s="6"/>
      <c r="AA9" s="6"/>
      <c r="AB9" s="2"/>
      <c r="AC9" s="69"/>
      <c r="AD9" s="67"/>
      <c r="AE9" s="6"/>
      <c r="AF9" s="68"/>
      <c r="AG9" s="154"/>
      <c r="AH9" s="6"/>
      <c r="AI9" s="148">
        <f t="shared" si="3"/>
        <v>0</v>
      </c>
      <c r="AJ9" s="6"/>
    </row>
    <row r="10" spans="1:36" x14ac:dyDescent="0.25">
      <c r="A10" s="1"/>
      <c r="B10" s="43" t="s">
        <v>182</v>
      </c>
      <c r="C10" s="62"/>
      <c r="D10" s="63"/>
      <c r="E10" s="64"/>
      <c r="F10" s="148"/>
      <c r="G10" s="66"/>
      <c r="H10" s="67"/>
      <c r="I10" s="71">
        <v>-460.98461538461538</v>
      </c>
      <c r="J10" s="68"/>
      <c r="K10" s="149"/>
      <c r="L10" s="150"/>
      <c r="M10" s="151"/>
      <c r="N10" s="6"/>
      <c r="O10" s="152"/>
      <c r="P10" s="6"/>
      <c r="Q10" s="148" t="str">
        <f t="shared" si="4"/>
        <v/>
      </c>
      <c r="R10" s="66"/>
      <c r="S10" s="67"/>
      <c r="T10" s="6"/>
      <c r="U10" s="68"/>
      <c r="V10" s="6"/>
      <c r="W10" s="6"/>
      <c r="X10" s="2"/>
      <c r="Y10" s="6"/>
      <c r="Z10" s="6"/>
      <c r="AA10" s="6"/>
      <c r="AB10" s="2"/>
      <c r="AC10" s="69"/>
      <c r="AD10" s="67"/>
      <c r="AE10" s="6"/>
      <c r="AF10" s="68"/>
      <c r="AG10" s="154"/>
      <c r="AH10" s="6"/>
      <c r="AI10" s="148">
        <f t="shared" si="3"/>
        <v>0</v>
      </c>
      <c r="AJ10" s="6"/>
    </row>
    <row r="11" spans="1:36" x14ac:dyDescent="0.25">
      <c r="A11" s="1"/>
      <c r="B11" s="43" t="s">
        <v>183</v>
      </c>
      <c r="C11" s="62"/>
      <c r="D11" s="63"/>
      <c r="E11" s="64"/>
      <c r="F11" s="148">
        <v>0.55000000000000004</v>
      </c>
      <c r="G11" s="66"/>
      <c r="H11" s="67"/>
      <c r="I11" s="123">
        <v>-0.36</v>
      </c>
      <c r="J11" s="68"/>
      <c r="K11" s="149">
        <f t="shared" si="1"/>
        <v>0.65454545454545443</v>
      </c>
      <c r="L11" s="150"/>
      <c r="M11" s="151">
        <f t="shared" si="2"/>
        <v>-0.10999999999999999</v>
      </c>
      <c r="N11" s="6"/>
      <c r="O11" s="152">
        <v>0.375</v>
      </c>
      <c r="P11" s="6"/>
      <c r="Q11" s="148">
        <f t="shared" si="4"/>
        <v>-0.25</v>
      </c>
      <c r="R11" s="66"/>
      <c r="S11" s="67"/>
      <c r="T11" s="153" t="s">
        <v>205</v>
      </c>
      <c r="U11" s="68"/>
      <c r="V11" s="6"/>
      <c r="W11" s="6"/>
      <c r="X11" s="2"/>
      <c r="Y11" s="6"/>
      <c r="Z11" s="6"/>
      <c r="AA11" s="6"/>
      <c r="AB11" s="2"/>
      <c r="AC11" s="69"/>
      <c r="AD11" s="67"/>
      <c r="AE11" s="6"/>
      <c r="AF11" s="68"/>
      <c r="AG11" s="154"/>
      <c r="AH11" s="6"/>
      <c r="AI11" s="148">
        <f t="shared" si="3"/>
        <v>0</v>
      </c>
      <c r="AJ11" s="6"/>
    </row>
    <row r="12" spans="1:36" x14ac:dyDescent="0.25">
      <c r="A12" s="1"/>
      <c r="B12" s="43" t="s">
        <v>184</v>
      </c>
      <c r="C12" s="62"/>
      <c r="D12" s="63"/>
      <c r="E12" s="64"/>
      <c r="F12" s="148">
        <v>1.66</v>
      </c>
      <c r="G12" s="66"/>
      <c r="H12" s="67"/>
      <c r="I12" s="123">
        <v>-1.7512999999999999</v>
      </c>
      <c r="J12" s="68"/>
      <c r="K12" s="149">
        <f t="shared" si="1"/>
        <v>1.0549999999999999</v>
      </c>
      <c r="L12" s="150"/>
      <c r="M12" s="151">
        <f t="shared" si="2"/>
        <v>-5.1299999999999901E-2</v>
      </c>
      <c r="N12" s="6"/>
      <c r="O12" s="152">
        <v>1.61</v>
      </c>
      <c r="P12" s="6"/>
      <c r="Q12" s="148">
        <f t="shared" si="4"/>
        <v>-1.7</v>
      </c>
      <c r="R12" s="66"/>
      <c r="S12" s="67"/>
      <c r="T12" s="153" t="s">
        <v>206</v>
      </c>
      <c r="U12" s="68"/>
      <c r="V12" s="6"/>
      <c r="W12" s="6"/>
      <c r="X12" s="2"/>
      <c r="Y12" s="6"/>
      <c r="Z12" s="6"/>
      <c r="AA12" s="6"/>
      <c r="AB12" s="2"/>
      <c r="AC12" s="69"/>
      <c r="AD12" s="67"/>
      <c r="AE12" s="6"/>
      <c r="AF12" s="68"/>
      <c r="AG12" s="154"/>
      <c r="AH12" s="6"/>
      <c r="AI12" s="148">
        <f t="shared" si="3"/>
        <v>0</v>
      </c>
      <c r="AJ12" s="6"/>
    </row>
    <row r="13" spans="1:36" x14ac:dyDescent="0.25">
      <c r="A13" s="1"/>
      <c r="B13" s="43" t="s">
        <v>185</v>
      </c>
      <c r="C13" s="62"/>
      <c r="D13" s="63"/>
      <c r="E13" s="64"/>
      <c r="F13" s="148">
        <v>2.0699999999999998</v>
      </c>
      <c r="G13" s="66"/>
      <c r="H13" s="67"/>
      <c r="I13" s="142">
        <v>-1.5825</v>
      </c>
      <c r="J13" s="68"/>
      <c r="K13" s="149">
        <f t="shared" si="1"/>
        <v>0.76449275362318847</v>
      </c>
      <c r="L13" s="150"/>
      <c r="M13" s="151">
        <f t="shared" si="2"/>
        <v>-6.25E-2</v>
      </c>
      <c r="N13" s="6"/>
      <c r="O13" s="152">
        <v>1.99</v>
      </c>
      <c r="P13" s="6"/>
      <c r="Q13" s="148">
        <f t="shared" si="4"/>
        <v>-1.52</v>
      </c>
      <c r="R13" s="66"/>
      <c r="S13" s="67"/>
      <c r="T13" s="153" t="s">
        <v>207</v>
      </c>
      <c r="U13" s="68"/>
      <c r="V13" s="6"/>
      <c r="W13" s="6"/>
      <c r="X13" s="2"/>
      <c r="Y13" s="6"/>
      <c r="Z13" s="6"/>
      <c r="AA13" s="6"/>
      <c r="AB13" s="2"/>
      <c r="AC13" s="69"/>
      <c r="AD13" s="67"/>
      <c r="AE13" s="6"/>
      <c r="AF13" s="68"/>
      <c r="AG13" s="154"/>
      <c r="AH13" s="6"/>
      <c r="AI13" s="148">
        <f t="shared" si="3"/>
        <v>0</v>
      </c>
      <c r="AJ13" s="6"/>
    </row>
    <row r="14" spans="1:36" x14ac:dyDescent="0.25">
      <c r="A14" s="1"/>
      <c r="B14" s="43" t="s">
        <v>186</v>
      </c>
      <c r="C14" s="62"/>
      <c r="D14" s="63"/>
      <c r="E14" s="64"/>
      <c r="F14" s="148">
        <v>0.5</v>
      </c>
      <c r="G14" s="66"/>
      <c r="H14" s="67"/>
      <c r="I14" s="123">
        <v>-0.27325581395348836</v>
      </c>
      <c r="J14" s="68"/>
      <c r="K14" s="149">
        <f t="shared" si="1"/>
        <v>0.54651162790697672</v>
      </c>
      <c r="L14" s="150"/>
      <c r="M14" s="151">
        <f t="shared" si="2"/>
        <v>-3.3255813953488367E-2</v>
      </c>
      <c r="N14" s="6"/>
      <c r="O14" s="152">
        <v>0.44</v>
      </c>
      <c r="P14" s="6"/>
      <c r="Q14" s="148">
        <f t="shared" si="4"/>
        <v>-0.24</v>
      </c>
      <c r="R14" s="66"/>
      <c r="S14" s="67"/>
      <c r="T14" s="153" t="s">
        <v>204</v>
      </c>
      <c r="U14" s="68"/>
      <c r="V14" s="6"/>
      <c r="W14" s="6"/>
      <c r="X14" s="2"/>
      <c r="Y14" s="6"/>
      <c r="Z14" s="6"/>
      <c r="AA14" s="6"/>
      <c r="AB14" s="2"/>
      <c r="AC14" s="69"/>
      <c r="AD14" s="67"/>
      <c r="AE14" s="6"/>
      <c r="AF14" s="68"/>
      <c r="AG14" s="154"/>
      <c r="AH14" s="6"/>
      <c r="AI14" s="148">
        <f t="shared" si="3"/>
        <v>0</v>
      </c>
      <c r="AJ14" s="6"/>
    </row>
    <row r="15" spans="1:36" x14ac:dyDescent="0.25">
      <c r="A15" s="1"/>
      <c r="B15" s="2"/>
      <c r="C15" s="62"/>
      <c r="D15" s="63"/>
      <c r="E15" s="64"/>
      <c r="F15" s="65"/>
      <c r="G15" s="66"/>
      <c r="H15" s="67"/>
      <c r="I15" s="62"/>
      <c r="J15" s="68"/>
      <c r="K15" s="6"/>
      <c r="L15" s="6"/>
      <c r="M15" s="2"/>
      <c r="N15" s="6"/>
      <c r="O15" s="6"/>
      <c r="P15" s="6"/>
      <c r="Q15" s="2"/>
      <c r="R15" s="66"/>
      <c r="S15" s="67"/>
      <c r="T15" s="6"/>
      <c r="U15" s="68"/>
      <c r="V15" s="6"/>
      <c r="W15" s="6"/>
      <c r="X15" s="2"/>
      <c r="Y15" s="6"/>
      <c r="Z15" s="6"/>
      <c r="AA15" s="6"/>
      <c r="AB15" s="2"/>
      <c r="AC15" s="69"/>
      <c r="AD15" s="67"/>
      <c r="AE15" s="6"/>
      <c r="AF15" s="68"/>
      <c r="AG15" s="6"/>
      <c r="AH15" s="6"/>
      <c r="AI15" s="2"/>
      <c r="AJ15" s="6"/>
    </row>
    <row r="16" spans="1:36" x14ac:dyDescent="0.25">
      <c r="A16" s="1"/>
      <c r="B16" s="2"/>
      <c r="C16" s="62"/>
      <c r="D16" s="63"/>
      <c r="E16" s="64"/>
      <c r="F16" s="65"/>
      <c r="G16" s="66"/>
      <c r="H16" s="67"/>
      <c r="I16" s="62"/>
      <c r="J16" s="68"/>
      <c r="K16" s="6"/>
      <c r="L16" s="6"/>
      <c r="M16" s="2"/>
      <c r="N16" s="6"/>
      <c r="O16" s="6"/>
      <c r="P16" s="6"/>
      <c r="Q16" s="2"/>
      <c r="R16" s="66"/>
      <c r="S16" s="67"/>
      <c r="T16" s="6"/>
      <c r="U16" s="68"/>
      <c r="V16" s="6"/>
      <c r="W16" s="6"/>
      <c r="X16" s="2"/>
      <c r="Y16" s="6"/>
      <c r="Z16" s="6"/>
      <c r="AA16" s="6"/>
      <c r="AB16" s="2"/>
      <c r="AC16" s="69"/>
      <c r="AD16" s="67"/>
      <c r="AE16" s="6"/>
      <c r="AF16" s="68"/>
      <c r="AG16" s="6"/>
      <c r="AH16" s="6"/>
      <c r="AI16" s="2"/>
      <c r="AJ16" s="6"/>
    </row>
    <row r="17" spans="1:36" x14ac:dyDescent="0.25">
      <c r="A17" s="1"/>
      <c r="B17" s="2"/>
      <c r="C17" s="62"/>
      <c r="D17" s="63"/>
      <c r="E17" s="64"/>
      <c r="F17" s="65"/>
      <c r="G17" s="66"/>
      <c r="H17" s="67"/>
      <c r="I17" s="62"/>
      <c r="J17" s="68"/>
      <c r="K17" s="6"/>
      <c r="L17" s="6"/>
      <c r="M17" s="2"/>
      <c r="N17" s="6"/>
      <c r="O17" s="6"/>
      <c r="P17" s="6"/>
      <c r="Q17" s="2"/>
      <c r="R17" s="66"/>
      <c r="S17" s="67"/>
      <c r="T17" s="6"/>
      <c r="U17" s="68"/>
      <c r="V17" s="6"/>
      <c r="W17" s="6"/>
      <c r="X17" s="2"/>
      <c r="Y17" s="6"/>
      <c r="Z17" s="6"/>
      <c r="AA17" s="6"/>
      <c r="AB17" s="2"/>
      <c r="AC17" s="69"/>
      <c r="AD17" s="67"/>
      <c r="AE17" s="6"/>
      <c r="AF17" s="68"/>
      <c r="AG17" s="6"/>
      <c r="AH17" s="6"/>
      <c r="AI17" s="2"/>
      <c r="AJ17" s="6"/>
    </row>
    <row r="18" spans="1:36" x14ac:dyDescent="0.25">
      <c r="A18" s="1"/>
      <c r="B18" s="2"/>
      <c r="C18" s="62"/>
      <c r="D18" s="63"/>
      <c r="E18" s="64"/>
      <c r="F18" s="145">
        <v>42314</v>
      </c>
      <c r="G18" s="66"/>
      <c r="H18" s="67"/>
      <c r="I18" s="145">
        <v>42314</v>
      </c>
      <c r="J18" s="68"/>
      <c r="K18" s="6"/>
      <c r="L18" s="6"/>
      <c r="M18" s="2"/>
      <c r="N18" s="6"/>
      <c r="O18" s="6"/>
      <c r="P18" s="6"/>
      <c r="Q18" s="2"/>
      <c r="R18" s="66"/>
      <c r="S18" s="67"/>
      <c r="T18" s="6"/>
      <c r="U18" s="68"/>
      <c r="V18" s="6"/>
      <c r="W18" s="6"/>
      <c r="X18" s="2"/>
      <c r="Y18" s="6"/>
      <c r="Z18" s="6"/>
      <c r="AA18" s="6"/>
      <c r="AB18" s="2"/>
      <c r="AC18" s="69"/>
      <c r="AD18" s="67"/>
      <c r="AE18" s="6"/>
      <c r="AF18" s="68"/>
      <c r="AG18" s="6"/>
      <c r="AH18" s="6"/>
      <c r="AI18" s="2"/>
      <c r="AJ18" s="6"/>
    </row>
    <row r="19" spans="1:36" x14ac:dyDescent="0.25">
      <c r="A19" s="1"/>
      <c r="B19" s="2"/>
      <c r="C19" s="62"/>
      <c r="D19" s="63"/>
      <c r="E19" s="64"/>
      <c r="F19" s="114" t="s">
        <v>175</v>
      </c>
      <c r="G19" s="66"/>
      <c r="H19" s="67"/>
      <c r="I19" s="146" t="s">
        <v>197</v>
      </c>
      <c r="J19" s="68"/>
      <c r="K19" s="6"/>
      <c r="L19" s="6"/>
      <c r="M19" s="2"/>
      <c r="N19" s="6"/>
      <c r="O19" s="6"/>
      <c r="P19" s="6"/>
      <c r="Q19" s="2"/>
      <c r="R19" s="66"/>
      <c r="S19" s="67"/>
      <c r="T19" s="6"/>
      <c r="U19" s="68"/>
      <c r="V19" s="6"/>
      <c r="W19" s="6"/>
      <c r="X19" s="2"/>
      <c r="Y19" s="6"/>
      <c r="Z19" s="6"/>
      <c r="AA19" s="6"/>
      <c r="AB19" s="2"/>
      <c r="AC19" s="69"/>
      <c r="AD19" s="67"/>
      <c r="AE19" s="6"/>
      <c r="AF19" s="68"/>
      <c r="AG19" s="6"/>
      <c r="AH19" s="6"/>
      <c r="AI19" s="2"/>
      <c r="AJ19" s="6"/>
    </row>
    <row r="20" spans="1:36" x14ac:dyDescent="0.25">
      <c r="A20" s="1"/>
      <c r="B20" s="2"/>
      <c r="C20" s="62"/>
      <c r="D20" s="63"/>
      <c r="E20" s="64"/>
      <c r="F20" s="143" t="s">
        <v>176</v>
      </c>
      <c r="G20" s="66"/>
      <c r="H20" s="67"/>
      <c r="I20" s="146" t="s">
        <v>176</v>
      </c>
      <c r="J20" s="68"/>
      <c r="K20" s="6"/>
      <c r="L20" s="6"/>
      <c r="M20" s="2"/>
      <c r="N20" s="6"/>
      <c r="O20" s="6"/>
      <c r="P20" s="6"/>
      <c r="Q20" s="2"/>
      <c r="R20" s="66"/>
      <c r="S20" s="67"/>
      <c r="T20" s="6"/>
      <c r="U20" s="68"/>
      <c r="V20" s="6"/>
      <c r="W20" s="6"/>
      <c r="X20" s="2"/>
      <c r="Y20" s="6"/>
      <c r="Z20" s="6"/>
      <c r="AA20" s="6"/>
      <c r="AB20" s="2"/>
      <c r="AC20" s="69"/>
      <c r="AD20" s="67"/>
      <c r="AE20" s="6"/>
      <c r="AF20" s="68"/>
      <c r="AG20" s="6"/>
      <c r="AH20" s="6"/>
      <c r="AI20" s="2"/>
      <c r="AJ20" s="6"/>
    </row>
    <row r="21" spans="1:36" x14ac:dyDescent="0.25">
      <c r="A21" s="1"/>
      <c r="B21" s="74" t="s">
        <v>208</v>
      </c>
      <c r="C21" s="62"/>
      <c r="D21" s="63"/>
      <c r="E21" s="64"/>
      <c r="F21" s="152">
        <v>168</v>
      </c>
      <c r="G21" s="66"/>
      <c r="H21" s="67"/>
      <c r="I21" s="141">
        <v>-123.79</v>
      </c>
      <c r="J21" s="68"/>
      <c r="K21" s="6"/>
      <c r="L21" s="6"/>
      <c r="M21" s="2"/>
      <c r="N21" s="6"/>
      <c r="O21" s="6"/>
      <c r="P21" s="6"/>
      <c r="Q21" s="2"/>
      <c r="R21" s="66"/>
      <c r="S21" s="67"/>
      <c r="T21" s="6"/>
      <c r="U21" s="68"/>
      <c r="V21" s="6"/>
      <c r="W21" s="6"/>
      <c r="X21" s="2"/>
      <c r="Y21" s="6"/>
      <c r="Z21" s="6"/>
      <c r="AA21" s="6"/>
      <c r="AB21" s="2"/>
      <c r="AC21" s="69"/>
      <c r="AD21" s="67"/>
      <c r="AE21" s="6"/>
      <c r="AF21" s="68"/>
      <c r="AG21" s="6"/>
      <c r="AH21" s="6"/>
      <c r="AI21" s="2"/>
      <c r="AJ21" s="6"/>
    </row>
    <row r="22" spans="1:36" x14ac:dyDescent="0.25">
      <c r="A22" s="1"/>
      <c r="B22" s="74" t="s">
        <v>209</v>
      </c>
      <c r="C22" s="62"/>
      <c r="D22" s="63"/>
      <c r="E22" s="64"/>
      <c r="F22" s="152">
        <v>0.67</v>
      </c>
      <c r="G22" s="66"/>
      <c r="H22" s="67"/>
      <c r="I22" s="142">
        <v>-0.38</v>
      </c>
      <c r="J22" s="68"/>
      <c r="K22" s="6"/>
      <c r="L22" s="6"/>
      <c r="M22" s="2"/>
      <c r="N22" s="6"/>
      <c r="O22" s="6"/>
      <c r="P22" s="6"/>
      <c r="Q22" s="2"/>
      <c r="R22" s="66"/>
      <c r="S22" s="67"/>
      <c r="T22" s="6"/>
      <c r="U22" s="68"/>
      <c r="V22" s="6"/>
      <c r="W22" s="6"/>
      <c r="X22" s="2"/>
      <c r="Y22" s="6"/>
      <c r="Z22" s="6"/>
      <c r="AA22" s="6"/>
      <c r="AB22" s="2"/>
      <c r="AC22" s="69"/>
      <c r="AD22" s="67"/>
      <c r="AE22" s="6"/>
      <c r="AF22" s="68"/>
      <c r="AG22" s="6"/>
      <c r="AH22" s="6"/>
      <c r="AI22" s="2"/>
      <c r="AJ22" s="6"/>
    </row>
    <row r="23" spans="1:36" x14ac:dyDescent="0.25">
      <c r="A23" s="1"/>
      <c r="B23" s="74" t="s">
        <v>210</v>
      </c>
      <c r="C23" s="62"/>
      <c r="D23" s="63"/>
      <c r="E23" s="64"/>
      <c r="F23" s="152">
        <v>2.29</v>
      </c>
      <c r="G23" s="66"/>
      <c r="H23" s="67"/>
      <c r="I23" s="142">
        <v>-0.37</v>
      </c>
      <c r="J23" s="68"/>
      <c r="K23" s="6"/>
      <c r="L23" s="6"/>
      <c r="M23" s="2"/>
      <c r="N23" s="6"/>
      <c r="O23" s="6"/>
      <c r="P23" s="6"/>
      <c r="Q23" s="2"/>
      <c r="R23" s="66"/>
      <c r="S23" s="67"/>
      <c r="T23" s="6"/>
      <c r="U23" s="68"/>
      <c r="V23" s="6"/>
      <c r="W23" s="6"/>
      <c r="X23" s="2"/>
      <c r="Y23" s="6"/>
      <c r="Z23" s="6"/>
      <c r="AA23" s="6"/>
      <c r="AB23" s="2"/>
      <c r="AC23" s="69"/>
      <c r="AD23" s="67"/>
      <c r="AE23" s="6"/>
      <c r="AF23" s="68"/>
      <c r="AG23" s="6"/>
      <c r="AH23" s="6"/>
      <c r="AI23" s="2"/>
      <c r="AJ23" s="6"/>
    </row>
    <row r="24" spans="1:36" x14ac:dyDescent="0.25">
      <c r="A24" s="1"/>
      <c r="B24" s="43" t="s">
        <v>211</v>
      </c>
      <c r="C24" s="62"/>
      <c r="D24" s="63"/>
      <c r="E24" s="64"/>
      <c r="F24" s="152">
        <v>0.44</v>
      </c>
      <c r="G24" s="66"/>
      <c r="H24" s="67"/>
      <c r="I24" s="142">
        <v>-0.16</v>
      </c>
      <c r="J24" s="68"/>
      <c r="K24" s="6"/>
      <c r="L24" s="6"/>
      <c r="M24" s="2"/>
      <c r="N24" s="6"/>
      <c r="O24" s="6"/>
      <c r="P24" s="6"/>
      <c r="Q24" s="2"/>
      <c r="R24" s="66"/>
      <c r="S24" s="67"/>
      <c r="T24" s="6"/>
      <c r="U24" s="68"/>
      <c r="V24" s="6"/>
      <c r="W24" s="6"/>
      <c r="X24" s="2"/>
      <c r="Y24" s="6"/>
      <c r="Z24" s="6"/>
      <c r="AA24" s="6"/>
      <c r="AB24" s="2"/>
      <c r="AC24" s="69"/>
      <c r="AD24" s="67"/>
      <c r="AE24" s="6"/>
      <c r="AF24" s="68"/>
      <c r="AG24" s="6"/>
      <c r="AH24" s="6"/>
      <c r="AI24" s="2"/>
      <c r="AJ24" s="6"/>
    </row>
    <row r="25" spans="1:36" x14ac:dyDescent="0.25">
      <c r="A25" s="1"/>
      <c r="B25" s="43" t="s">
        <v>212</v>
      </c>
      <c r="C25" s="62"/>
      <c r="D25" s="63"/>
      <c r="E25" s="64"/>
      <c r="F25" s="152">
        <v>0.44</v>
      </c>
      <c r="G25" s="66"/>
      <c r="H25" s="67"/>
      <c r="I25" s="123">
        <v>-0.2</v>
      </c>
      <c r="J25" s="68"/>
      <c r="K25" s="6"/>
      <c r="L25" s="6"/>
      <c r="M25" s="2"/>
      <c r="N25" s="6"/>
      <c r="O25" s="6"/>
      <c r="P25" s="6"/>
      <c r="Q25" s="2"/>
      <c r="R25" s="66"/>
      <c r="S25" s="67"/>
      <c r="T25" s="6"/>
      <c r="U25" s="68"/>
      <c r="V25" s="6"/>
      <c r="W25" s="6"/>
      <c r="X25" s="2"/>
      <c r="Y25" s="6"/>
      <c r="Z25" s="6"/>
      <c r="AA25" s="6"/>
      <c r="AB25" s="2"/>
      <c r="AC25" s="69"/>
      <c r="AD25" s="67"/>
      <c r="AE25" s="6"/>
      <c r="AF25" s="68"/>
      <c r="AG25" s="6"/>
      <c r="AH25" s="6"/>
      <c r="AI25" s="2"/>
      <c r="AJ25" s="6"/>
    </row>
    <row r="26" spans="1:36" x14ac:dyDescent="0.25">
      <c r="A26" s="1"/>
      <c r="B26" s="43" t="s">
        <v>213</v>
      </c>
      <c r="C26" s="62"/>
      <c r="D26" s="63"/>
      <c r="E26" s="64"/>
      <c r="F26" s="152"/>
      <c r="G26" s="66"/>
      <c r="H26" s="67"/>
      <c r="I26" s="71" t="s">
        <v>64</v>
      </c>
      <c r="J26" s="68"/>
      <c r="K26" s="6"/>
      <c r="L26" s="6"/>
      <c r="M26" s="2"/>
      <c r="N26" s="6"/>
      <c r="O26" s="6"/>
      <c r="P26" s="6"/>
      <c r="Q26" s="2"/>
      <c r="R26" s="66"/>
      <c r="S26" s="67"/>
      <c r="T26" s="6"/>
      <c r="U26" s="68"/>
      <c r="V26" s="6"/>
      <c r="W26" s="6"/>
      <c r="X26" s="2"/>
      <c r="Y26" s="6"/>
      <c r="Z26" s="6"/>
      <c r="AA26" s="6"/>
      <c r="AB26" s="2"/>
      <c r="AC26" s="69"/>
      <c r="AD26" s="67"/>
      <c r="AE26" s="6"/>
      <c r="AF26" s="68"/>
      <c r="AG26" s="6"/>
      <c r="AH26" s="6"/>
      <c r="AI26" s="2"/>
      <c r="AJ26" s="6"/>
    </row>
    <row r="27" spans="1:36" x14ac:dyDescent="0.25">
      <c r="A27" s="1"/>
      <c r="B27" s="43" t="s">
        <v>214</v>
      </c>
      <c r="C27" s="62"/>
      <c r="D27" s="63"/>
      <c r="E27" s="64"/>
      <c r="F27" s="152">
        <v>0.375</v>
      </c>
      <c r="G27" s="66"/>
      <c r="H27" s="67"/>
      <c r="I27" s="123">
        <v>-0.25</v>
      </c>
      <c r="J27" s="68"/>
      <c r="K27" s="6"/>
      <c r="L27" s="6"/>
      <c r="M27" s="2"/>
      <c r="N27" s="6"/>
      <c r="O27" s="6"/>
      <c r="P27" s="6"/>
      <c r="Q27" s="2"/>
      <c r="R27" s="66"/>
      <c r="S27" s="67"/>
      <c r="T27" s="6"/>
      <c r="U27" s="68"/>
      <c r="V27" s="6"/>
      <c r="W27" s="6"/>
      <c r="X27" s="2"/>
      <c r="Y27" s="6"/>
      <c r="Z27" s="6"/>
      <c r="AA27" s="6"/>
      <c r="AB27" s="2"/>
      <c r="AC27" s="69"/>
      <c r="AD27" s="67"/>
      <c r="AE27" s="6"/>
      <c r="AF27" s="68"/>
      <c r="AG27" s="6"/>
      <c r="AH27" s="6"/>
      <c r="AI27" s="2"/>
      <c r="AJ27" s="6"/>
    </row>
    <row r="28" spans="1:36" x14ac:dyDescent="0.25">
      <c r="A28" s="1"/>
      <c r="B28" s="43" t="s">
        <v>215</v>
      </c>
      <c r="C28" s="62"/>
      <c r="D28" s="63"/>
      <c r="E28" s="64"/>
      <c r="F28" s="152">
        <v>1.61</v>
      </c>
      <c r="G28" s="66"/>
      <c r="H28" s="67"/>
      <c r="I28" s="123">
        <v>-1.7</v>
      </c>
      <c r="J28" s="68"/>
      <c r="K28" s="6"/>
      <c r="L28" s="6"/>
      <c r="M28" s="2"/>
      <c r="N28" s="6"/>
      <c r="O28" s="6"/>
      <c r="P28" s="6"/>
      <c r="Q28" s="2"/>
      <c r="R28" s="66"/>
      <c r="S28" s="67"/>
      <c r="T28" s="6"/>
      <c r="U28" s="68"/>
      <c r="V28" s="6"/>
      <c r="W28" s="6"/>
      <c r="X28" s="2"/>
      <c r="Y28" s="6"/>
      <c r="Z28" s="6"/>
      <c r="AA28" s="6"/>
      <c r="AB28" s="2"/>
      <c r="AC28" s="69"/>
      <c r="AD28" s="67"/>
      <c r="AE28" s="6"/>
      <c r="AF28" s="68"/>
      <c r="AG28" s="6"/>
      <c r="AH28" s="6"/>
      <c r="AI28" s="2"/>
      <c r="AJ28" s="6"/>
    </row>
    <row r="29" spans="1:36" x14ac:dyDescent="0.25">
      <c r="A29" s="1"/>
      <c r="B29" s="43" t="s">
        <v>216</v>
      </c>
      <c r="C29" s="62"/>
      <c r="D29" s="63"/>
      <c r="E29" s="64"/>
      <c r="F29" s="152">
        <v>1.99</v>
      </c>
      <c r="G29" s="66"/>
      <c r="H29" s="67"/>
      <c r="I29" s="142">
        <v>-1.52</v>
      </c>
      <c r="J29" s="68"/>
      <c r="K29" s="6"/>
      <c r="L29" s="6"/>
      <c r="M29" s="2"/>
      <c r="N29" s="6"/>
      <c r="O29" s="6"/>
      <c r="P29" s="6"/>
      <c r="Q29" s="2"/>
      <c r="R29" s="66"/>
      <c r="S29" s="67"/>
      <c r="T29" s="6"/>
      <c r="U29" s="68"/>
      <c r="V29" s="6"/>
      <c r="W29" s="6"/>
      <c r="X29" s="2"/>
      <c r="Y29" s="6"/>
      <c r="Z29" s="6"/>
      <c r="AA29" s="6"/>
      <c r="AB29" s="2"/>
      <c r="AC29" s="69"/>
      <c r="AD29" s="67"/>
      <c r="AE29" s="6"/>
      <c r="AF29" s="68"/>
      <c r="AG29" s="6"/>
      <c r="AH29" s="6"/>
      <c r="AI29" s="2"/>
      <c r="AJ29" s="6"/>
    </row>
    <row r="30" spans="1:36" x14ac:dyDescent="0.25">
      <c r="A30" s="1"/>
      <c r="B30" s="43" t="s">
        <v>217</v>
      </c>
      <c r="C30" s="62"/>
      <c r="D30" s="63"/>
      <c r="E30" s="64"/>
      <c r="F30" s="152">
        <v>0.44</v>
      </c>
      <c r="G30" s="66"/>
      <c r="H30" s="67"/>
      <c r="I30" s="123">
        <v>-0.24</v>
      </c>
      <c r="J30" s="68"/>
      <c r="K30" s="6"/>
      <c r="L30" s="6"/>
      <c r="M30" s="2"/>
      <c r="N30" s="6"/>
      <c r="O30" s="6"/>
      <c r="P30" s="6"/>
      <c r="Q30" s="2"/>
      <c r="R30" s="66"/>
      <c r="S30" s="67"/>
      <c r="T30" s="6"/>
      <c r="U30" s="68"/>
      <c r="V30" s="6"/>
      <c r="W30" s="6"/>
      <c r="X30" s="2"/>
      <c r="Y30" s="6"/>
      <c r="Z30" s="6"/>
      <c r="AA30" s="6"/>
      <c r="AB30" s="2"/>
      <c r="AC30" s="69"/>
      <c r="AD30" s="67"/>
      <c r="AE30" s="6"/>
      <c r="AF30" s="68"/>
      <c r="AG30" s="6"/>
      <c r="AH30" s="6"/>
      <c r="AI30" s="2"/>
      <c r="AJ30" s="6"/>
    </row>
    <row r="31" spans="1:36" x14ac:dyDescent="0.25">
      <c r="A31" s="1"/>
      <c r="B31" s="2"/>
      <c r="C31" s="62"/>
      <c r="D31" s="63"/>
      <c r="E31" s="64"/>
      <c r="F31" s="65"/>
      <c r="G31" s="66"/>
      <c r="H31" s="67"/>
      <c r="I31" s="62"/>
      <c r="J31" s="68"/>
      <c r="K31" s="6"/>
      <c r="L31" s="6"/>
      <c r="M31" s="2"/>
      <c r="N31" s="6"/>
      <c r="O31" s="6"/>
      <c r="P31" s="6"/>
      <c r="Q31" s="2"/>
      <c r="R31" s="66"/>
      <c r="S31" s="67"/>
      <c r="T31" s="6"/>
      <c r="U31" s="68"/>
      <c r="V31" s="6"/>
      <c r="W31" s="6"/>
      <c r="X31" s="2"/>
      <c r="Y31" s="6"/>
      <c r="Z31" s="6"/>
      <c r="AA31" s="6"/>
      <c r="AB31" s="2"/>
      <c r="AC31" s="69"/>
      <c r="AD31" s="67"/>
      <c r="AE31" s="6"/>
      <c r="AF31" s="68"/>
      <c r="AG31" s="6"/>
      <c r="AH31" s="6"/>
      <c r="AI31" s="2"/>
      <c r="AJ31" s="6"/>
    </row>
    <row r="32" spans="1:36" x14ac:dyDescent="0.25">
      <c r="A32" s="1"/>
      <c r="B32" s="2"/>
      <c r="C32" s="62"/>
      <c r="D32" s="63"/>
      <c r="E32" s="64"/>
      <c r="F32" s="65"/>
      <c r="G32" s="66"/>
      <c r="H32" s="67"/>
      <c r="I32" s="62"/>
      <c r="J32" s="68"/>
      <c r="K32" s="6"/>
      <c r="L32" s="6"/>
      <c r="M32" s="2"/>
      <c r="N32" s="6"/>
      <c r="O32" s="6"/>
      <c r="P32" s="6"/>
      <c r="Q32" s="2"/>
      <c r="R32" s="66"/>
      <c r="S32" s="67"/>
      <c r="T32" s="6"/>
      <c r="U32" s="68"/>
      <c r="V32" s="6"/>
      <c r="W32" s="6"/>
      <c r="X32" s="2"/>
      <c r="Y32" s="6"/>
      <c r="Z32" s="6"/>
      <c r="AA32" s="6"/>
      <c r="AB32" s="2"/>
      <c r="AC32" s="69"/>
      <c r="AD32" s="67"/>
      <c r="AE32" s="6"/>
      <c r="AF32" s="68"/>
      <c r="AG32" s="6"/>
      <c r="AH32" s="6"/>
      <c r="AI32" s="2"/>
      <c r="AJ32" s="6"/>
    </row>
  </sheetData>
  <hyperlinks>
    <hyperlink ref="T5" r:id="rId1"/>
    <hyperlink ref="T6" r:id="rId2"/>
    <hyperlink ref="T7" r:id="rId3"/>
    <hyperlink ref="T8" r:id="rId4"/>
    <hyperlink ref="T9" r:id="rId5"/>
    <hyperlink ref="T12" r:id="rId6"/>
    <hyperlink ref="T14" r:id="rId7"/>
    <hyperlink ref="T13" r:id="rId8"/>
    <hyperlink ref="T11" r:id="rId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Scholz Data</vt:lpstr>
      <vt:lpstr>Scholz Import</vt:lpstr>
      <vt:lpstr>Scholz</vt:lpstr>
      <vt:lpstr>Sheet1</vt:lpstr>
      <vt:lpstr>Scrap Values</vt:lpstr>
      <vt:lpstr>Scholz!Print_Area</vt:lpstr>
      <vt:lpstr>'Scholz Data'!Print_Area</vt:lpstr>
      <vt:lpstr>Scholz!Print_Titles</vt:lpstr>
      <vt:lpstr>'Scholz Data'!Print_Titles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bastim</dc:creator>
  <cp:lastModifiedBy>Richard Cornelius</cp:lastModifiedBy>
  <dcterms:created xsi:type="dcterms:W3CDTF">2014-05-01T12:31:08Z</dcterms:created>
  <dcterms:modified xsi:type="dcterms:W3CDTF">2016-04-21T13:23:03Z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-345736681</vt:i4>
  </property>
  <property fmtid="{D5CDD505-2E9C-101B-9397-08002B2CF9AE}" pid="3" name="_NewReviewCycle">
    <vt:lpwstr/>
  </property>
  <property fmtid="{D5CDD505-2E9C-101B-9397-08002B2CF9AE}" pid="4" name="_EmailSubject">
    <vt:lpwstr>Docket No. 160170 Depreciation &amp; Dismantlement 3 of 4</vt:lpwstr>
  </property>
  <property fmtid="{D5CDD505-2E9C-101B-9397-08002B2CF9AE}" pid="5" name="_AuthorEmail">
    <vt:lpwstr>MBROADWA@SOUTHERNCO.COM</vt:lpwstr>
  </property>
  <property fmtid="{D5CDD505-2E9C-101B-9397-08002B2CF9AE}" pid="6" name="_AuthorEmailDisplayName">
    <vt:lpwstr>Broadway, Mike</vt:lpwstr>
  </property>
</Properties>
</file>