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395" yWindow="-15" windowWidth="28320" windowHeight="10785" activeTab="1"/>
  </bookViews>
  <sheets>
    <sheet name="Smith Data" sheetId="1" r:id="rId1"/>
    <sheet name="Smith Import" sheetId="2" r:id="rId2"/>
    <sheet name="Smith" sheetId="4" r:id="rId3"/>
    <sheet name="Sheet1" sheetId="5" r:id="rId4"/>
    <sheet name="Scrap Values" sheetId="6" r:id="rId5"/>
  </sheets>
  <definedNames>
    <definedName name="_xlnm._FilterDatabase" localSheetId="1" hidden="1">'Smith Import'!$A$2:$AC$129</definedName>
    <definedName name="_xlnm.Print_Area" localSheetId="2">Smith!$A$1:$CP$81</definedName>
    <definedName name="_xlnm.Print_Area" localSheetId="0">'Smith Data'!$A$1:$CR$109</definedName>
    <definedName name="_xlnm.Print_Titles" localSheetId="2">Smith!$A:$B</definedName>
    <definedName name="_xlnm.Print_Titles" localSheetId="0">'Smith Data'!$A:$B</definedName>
  </definedNames>
  <calcPr calcId="145621" iterate="1" calcOnSave="0"/>
</workbook>
</file>

<file path=xl/calcChain.xml><?xml version="1.0" encoding="utf-8"?>
<calcChain xmlns="http://schemas.openxmlformats.org/spreadsheetml/2006/main">
  <c r="H50" i="2" l="1"/>
  <c r="E83" i="1" l="1"/>
  <c r="E82" i="1"/>
  <c r="E77" i="1"/>
  <c r="E75" i="1"/>
  <c r="E70" i="1"/>
  <c r="E69" i="1"/>
  <c r="E66" i="1"/>
  <c r="E61" i="1"/>
  <c r="E60" i="1"/>
  <c r="E57" i="1"/>
  <c r="E53" i="1"/>
  <c r="E49" i="1"/>
  <c r="E46" i="1"/>
  <c r="E39" i="1"/>
  <c r="E41" i="1"/>
  <c r="E42" i="1"/>
  <c r="E43" i="1"/>
  <c r="E34" i="1"/>
  <c r="E28" i="1"/>
  <c r="E27" i="1"/>
  <c r="E25" i="1"/>
  <c r="E23" i="1"/>
  <c r="E18" i="1"/>
  <c r="E15" i="1"/>
  <c r="E11" i="1"/>
  <c r="AI14" i="6" l="1"/>
  <c r="Q14" i="6"/>
  <c r="M14" i="6" s="1"/>
  <c r="K14" i="6"/>
  <c r="AI13" i="6"/>
  <c r="Q13" i="6"/>
  <c r="M13" i="6" s="1"/>
  <c r="K13" i="6"/>
  <c r="AI12" i="6"/>
  <c r="Q12" i="6"/>
  <c r="M12" i="6" s="1"/>
  <c r="K12" i="6"/>
  <c r="AI11" i="6"/>
  <c r="Q11" i="6"/>
  <c r="M11" i="6" s="1"/>
  <c r="K11" i="6"/>
  <c r="AI10" i="6"/>
  <c r="Q10" i="6"/>
  <c r="K9" i="6"/>
  <c r="AI9" i="6" s="1"/>
  <c r="K8" i="6"/>
  <c r="AI8" i="6" s="1"/>
  <c r="K7" i="6"/>
  <c r="AI7" i="6" s="1"/>
  <c r="K6" i="6"/>
  <c r="AI6" i="6" s="1"/>
  <c r="AG5" i="6"/>
  <c r="K5" i="6"/>
  <c r="AI5" i="6" s="1"/>
  <c r="Q2" i="6"/>
  <c r="F1" i="6"/>
  <c r="F3" i="6" s="1"/>
  <c r="Q5" i="6" l="1"/>
  <c r="M5" i="6" s="1"/>
  <c r="Q6" i="6"/>
  <c r="M6" i="6" s="1"/>
  <c r="Q7" i="6"/>
  <c r="M7" i="6" s="1"/>
  <c r="Q8" i="6"/>
  <c r="M8" i="6" s="1"/>
  <c r="Q9" i="6"/>
  <c r="M9" i="6" s="1"/>
  <c r="O8" i="2"/>
  <c r="O9" i="2"/>
  <c r="O10" i="2"/>
  <c r="O11" i="2"/>
  <c r="O12" i="2"/>
  <c r="O13" i="2"/>
  <c r="O14" i="2"/>
  <c r="O15" i="2"/>
  <c r="O16" i="2"/>
  <c r="O17" i="2"/>
  <c r="O18" i="2"/>
  <c r="O19" i="2"/>
  <c r="O118" i="2"/>
  <c r="O121" i="2"/>
  <c r="O123" i="2"/>
  <c r="O125" i="2"/>
  <c r="N8" i="2"/>
  <c r="N9" i="2"/>
  <c r="N10" i="2"/>
  <c r="N11" i="2"/>
  <c r="N12" i="2"/>
  <c r="N13" i="2"/>
  <c r="N14" i="2"/>
  <c r="N15" i="2"/>
  <c r="N16" i="2"/>
  <c r="N17" i="2"/>
  <c r="N18" i="2"/>
  <c r="N19" i="2"/>
  <c r="N92" i="2"/>
  <c r="N102" i="2"/>
  <c r="N50" i="2"/>
  <c r="N87" i="2"/>
  <c r="I56" i="2" l="1"/>
  <c r="O56" i="2" s="1"/>
  <c r="I54" i="2"/>
  <c r="F56" i="2"/>
  <c r="H56" i="2" s="1"/>
  <c r="N56" i="2" s="1"/>
  <c r="F54" i="2"/>
  <c r="I55" i="2"/>
  <c r="O55" i="2" s="1"/>
  <c r="F55" i="2"/>
  <c r="F53" i="2"/>
  <c r="H53" i="2" s="1"/>
  <c r="N53" i="2" s="1"/>
  <c r="I53" i="2"/>
  <c r="O53" i="2" s="1"/>
  <c r="O54" i="2" l="1"/>
  <c r="H89" i="2"/>
  <c r="N89" i="2" s="1"/>
  <c r="H99" i="2"/>
  <c r="N99" i="2" s="1"/>
  <c r="H127" i="2"/>
  <c r="N127" i="2" s="1"/>
  <c r="H105" i="2"/>
  <c r="N105" i="2" s="1"/>
  <c r="H3" i="2"/>
  <c r="H55" i="2"/>
  <c r="N55" i="2" s="1"/>
  <c r="E40" i="1" l="1"/>
  <c r="E24" i="1"/>
  <c r="E38" i="1"/>
  <c r="E22" i="1"/>
  <c r="E71" i="1"/>
  <c r="E68" i="1"/>
  <c r="E62" i="1"/>
  <c r="E59" i="1"/>
  <c r="E44" i="1"/>
  <c r="E37" i="1"/>
  <c r="E29" i="1"/>
  <c r="E21" i="1"/>
  <c r="E36" i="1"/>
  <c r="E20" i="1"/>
  <c r="E76" i="1"/>
  <c r="E72" i="1"/>
  <c r="E67" i="1"/>
  <c r="E63" i="1"/>
  <c r="E58" i="1"/>
  <c r="E54" i="1"/>
  <c r="E50" i="1"/>
  <c r="E45" i="1"/>
  <c r="E35" i="1"/>
  <c r="E30" i="1"/>
  <c r="E19" i="1"/>
  <c r="W99" i="2" l="1"/>
  <c r="W89" i="2"/>
  <c r="W11" i="2"/>
  <c r="I3" i="2"/>
  <c r="O3" i="2" s="1"/>
  <c r="W55" i="2"/>
  <c r="W56" i="2"/>
  <c r="W10" i="2"/>
  <c r="W53" i="2"/>
  <c r="W9" i="2"/>
  <c r="I89" i="2" l="1"/>
  <c r="O89" i="2" s="1"/>
  <c r="I99" i="2"/>
  <c r="O99" i="2" s="1"/>
  <c r="I105" i="2"/>
  <c r="O105" i="2" s="1"/>
  <c r="N3" i="2"/>
  <c r="W105" i="2"/>
  <c r="W127" i="2"/>
  <c r="W3" i="2"/>
  <c r="I127" i="2"/>
  <c r="O127" i="2" s="1"/>
  <c r="H54" i="2"/>
  <c r="N54" i="2" s="1"/>
  <c r="I124" i="2"/>
  <c r="O124" i="2" s="1"/>
  <c r="I122" i="2"/>
  <c r="O122" i="2" s="1"/>
  <c r="I120" i="2"/>
  <c r="O120" i="2" s="1"/>
  <c r="F124" i="2"/>
  <c r="F120" i="2"/>
  <c r="F119" i="2"/>
  <c r="H120" i="2"/>
  <c r="N120" i="2" s="1"/>
  <c r="H122" i="2"/>
  <c r="N122" i="2" s="1"/>
  <c r="H124" i="2"/>
  <c r="N124" i="2" s="1"/>
  <c r="H119" i="2"/>
  <c r="N119" i="2" s="1"/>
  <c r="I119" i="2"/>
  <c r="O119" i="2" s="1"/>
  <c r="D82" i="1"/>
  <c r="F122" i="2" s="1"/>
  <c r="AR82" i="1"/>
  <c r="AT82" i="1" s="1"/>
  <c r="W54" i="2" l="1"/>
  <c r="W124" i="2"/>
  <c r="AZ82" i="1"/>
  <c r="AX82" i="1"/>
  <c r="AV82" i="1"/>
  <c r="W120" i="2"/>
  <c r="W119" i="2"/>
  <c r="W122" i="2"/>
  <c r="W38" i="5" l="1"/>
  <c r="O38" i="5"/>
  <c r="N38" i="5"/>
  <c r="N37" i="5"/>
  <c r="H37" i="5"/>
  <c r="W37" i="5" s="1"/>
  <c r="W32" i="5"/>
  <c r="O32" i="5"/>
  <c r="N32" i="5"/>
  <c r="N30" i="5"/>
  <c r="F30" i="5"/>
  <c r="I30" i="5" s="1"/>
  <c r="O30" i="5" s="1"/>
  <c r="I29" i="5"/>
  <c r="O29" i="5" s="1"/>
  <c r="F29" i="5"/>
  <c r="W28" i="5"/>
  <c r="O28" i="5"/>
  <c r="N28" i="5"/>
  <c r="N27" i="5"/>
  <c r="F27" i="5"/>
  <c r="W27" i="5" s="1"/>
  <c r="O26" i="5"/>
  <c r="I26" i="5"/>
  <c r="F26" i="5"/>
  <c r="W25" i="5"/>
  <c r="O25" i="5"/>
  <c r="N25" i="5"/>
  <c r="N24" i="5"/>
  <c r="F24" i="5"/>
  <c r="I24" i="5" s="1"/>
  <c r="O24" i="5" s="1"/>
  <c r="I23" i="5"/>
  <c r="O23" i="5" s="1"/>
  <c r="F23" i="5"/>
  <c r="W22" i="5"/>
  <c r="O22" i="5"/>
  <c r="N22" i="5"/>
  <c r="N21" i="5"/>
  <c r="F21" i="5"/>
  <c r="W21" i="5" s="1"/>
  <c r="O20" i="5"/>
  <c r="I20" i="5"/>
  <c r="F20" i="5"/>
  <c r="W19" i="5"/>
  <c r="O19" i="5"/>
  <c r="N19" i="5"/>
  <c r="N18" i="5"/>
  <c r="F18" i="5"/>
  <c r="W18" i="5" s="1"/>
  <c r="I17" i="5"/>
  <c r="H34" i="5" s="1"/>
  <c r="F17" i="5"/>
  <c r="W16" i="5"/>
  <c r="O16" i="5"/>
  <c r="N16" i="5"/>
  <c r="W34" i="5" l="1"/>
  <c r="N34" i="5"/>
  <c r="I34" i="5"/>
  <c r="O34" i="5" s="1"/>
  <c r="W29" i="5"/>
  <c r="W20" i="5"/>
  <c r="I18" i="5"/>
  <c r="O18" i="5" s="1"/>
  <c r="H20" i="5"/>
  <c r="N20" i="5" s="1"/>
  <c r="O17" i="5"/>
  <c r="H17" i="5"/>
  <c r="N17" i="5" s="1"/>
  <c r="I21" i="5"/>
  <c r="O21" i="5" s="1"/>
  <c r="H23" i="5"/>
  <c r="N23" i="5" s="1"/>
  <c r="I27" i="5"/>
  <c r="O27" i="5" s="1"/>
  <c r="H29" i="5"/>
  <c r="N29" i="5" s="1"/>
  <c r="H35" i="5"/>
  <c r="W24" i="5"/>
  <c r="W30" i="5"/>
  <c r="H36" i="5"/>
  <c r="H26" i="5"/>
  <c r="N26" i="5" s="1"/>
  <c r="H31" i="5"/>
  <c r="H33" i="5"/>
  <c r="H125" i="2"/>
  <c r="N125" i="2" s="1"/>
  <c r="F125" i="2"/>
  <c r="I33" i="5" l="1"/>
  <c r="O33" i="5" s="1"/>
  <c r="W33" i="5"/>
  <c r="N33" i="5"/>
  <c r="N35" i="5"/>
  <c r="I35" i="5"/>
  <c r="O35" i="5" s="1"/>
  <c r="W35" i="5"/>
  <c r="N36" i="5"/>
  <c r="I36" i="5"/>
  <c r="O36" i="5" s="1"/>
  <c r="W36" i="5"/>
  <c r="W17" i="5"/>
  <c r="W26" i="5"/>
  <c r="W23" i="5"/>
  <c r="I31" i="5"/>
  <c r="O31" i="5" s="1"/>
  <c r="W31" i="5"/>
  <c r="N31" i="5"/>
  <c r="F85" i="2"/>
  <c r="H85" i="2"/>
  <c r="N85" i="2" s="1"/>
  <c r="I85" i="2"/>
  <c r="O85" i="2" s="1"/>
  <c r="F61" i="2"/>
  <c r="F62" i="2"/>
  <c r="I61" i="2"/>
  <c r="O61" i="2" s="1"/>
  <c r="I62" i="2"/>
  <c r="O62" i="2" s="1"/>
  <c r="F49" i="2"/>
  <c r="F48" i="2"/>
  <c r="F47" i="2"/>
  <c r="F46" i="2"/>
  <c r="H47" i="2"/>
  <c r="N47" i="2" s="1"/>
  <c r="H48" i="2"/>
  <c r="N48" i="2" s="1"/>
  <c r="H49" i="2"/>
  <c r="N49" i="2" s="1"/>
  <c r="H46" i="2"/>
  <c r="N46" i="2" s="1"/>
  <c r="I49" i="2"/>
  <c r="O49" i="2" s="1"/>
  <c r="I48" i="2"/>
  <c r="O48" i="2" s="1"/>
  <c r="I47" i="2"/>
  <c r="O47" i="2" s="1"/>
  <c r="I46" i="2"/>
  <c r="O46" i="2" s="1"/>
  <c r="F44" i="2"/>
  <c r="I40" i="2"/>
  <c r="O40" i="2" s="1"/>
  <c r="F42" i="2"/>
  <c r="W49" i="2" l="1"/>
  <c r="W48" i="2"/>
  <c r="F110" i="2" l="1"/>
  <c r="H110" i="2"/>
  <c r="N110" i="2" s="1"/>
  <c r="I110" i="2"/>
  <c r="O110" i="2" s="1"/>
  <c r="F24" i="2"/>
  <c r="F23" i="2"/>
  <c r="H24" i="2"/>
  <c r="N24" i="2" s="1"/>
  <c r="H23" i="2"/>
  <c r="N23" i="2" s="1"/>
  <c r="I24" i="2"/>
  <c r="O24" i="2" s="1"/>
  <c r="I23" i="2"/>
  <c r="O23" i="2" s="1"/>
  <c r="F38" i="2"/>
  <c r="F37" i="2"/>
  <c r="F36" i="2"/>
  <c r="H37" i="2"/>
  <c r="N37" i="2" s="1"/>
  <c r="H38" i="2"/>
  <c r="N38" i="2" s="1"/>
  <c r="H36" i="2"/>
  <c r="N36" i="2" s="1"/>
  <c r="F32" i="2"/>
  <c r="F31" i="2"/>
  <c r="F30" i="2"/>
  <c r="H30" i="2"/>
  <c r="N30" i="2" s="1"/>
  <c r="H31" i="2"/>
  <c r="N31" i="2" s="1"/>
  <c r="H32" i="2"/>
  <c r="N32" i="2" s="1"/>
  <c r="F29" i="2"/>
  <c r="H29" i="2"/>
  <c r="N29" i="2" s="1"/>
  <c r="F123" i="2"/>
  <c r="I109" i="2"/>
  <c r="O109" i="2" s="1"/>
  <c r="F109" i="2"/>
  <c r="F43" i="2"/>
  <c r="F41" i="2"/>
  <c r="I39" i="2"/>
  <c r="O39" i="2" s="1"/>
  <c r="F35" i="2"/>
  <c r="F34" i="2"/>
  <c r="F33" i="2"/>
  <c r="F28" i="2"/>
  <c r="F27" i="2"/>
  <c r="F26" i="2"/>
  <c r="F25" i="2"/>
  <c r="I22" i="2"/>
  <c r="O22" i="2" s="1"/>
  <c r="F22" i="2"/>
  <c r="I21" i="2"/>
  <c r="O21" i="2" s="1"/>
  <c r="F21" i="2"/>
  <c r="I96" i="2"/>
  <c r="O96" i="2" s="1"/>
  <c r="H96" i="2"/>
  <c r="N96" i="2" s="1"/>
  <c r="F96" i="2"/>
  <c r="I94" i="2"/>
  <c r="O94" i="2" s="1"/>
  <c r="H94" i="2"/>
  <c r="N94" i="2" s="1"/>
  <c r="F94" i="2"/>
  <c r="I60" i="2"/>
  <c r="O60" i="2" s="1"/>
  <c r="H60" i="2"/>
  <c r="N60" i="2" s="1"/>
  <c r="F60" i="2"/>
  <c r="F117" i="2"/>
  <c r="I113" i="2"/>
  <c r="O113" i="2" s="1"/>
  <c r="F115" i="2"/>
  <c r="I98" i="2"/>
  <c r="O98" i="2" s="1"/>
  <c r="H98" i="2"/>
  <c r="N98" i="2" s="1"/>
  <c r="F98" i="2"/>
  <c r="I108" i="2"/>
  <c r="O108" i="2" s="1"/>
  <c r="H108" i="2"/>
  <c r="N108" i="2" s="1"/>
  <c r="F108" i="2"/>
  <c r="I64" i="2"/>
  <c r="O64" i="2" s="1"/>
  <c r="H64" i="2"/>
  <c r="N64" i="2" s="1"/>
  <c r="F64" i="2"/>
  <c r="I86" i="2"/>
  <c r="O86" i="2" s="1"/>
  <c r="H86" i="2"/>
  <c r="N86" i="2" s="1"/>
  <c r="F86" i="2"/>
  <c r="I84" i="2"/>
  <c r="O84" i="2" s="1"/>
  <c r="H84" i="2"/>
  <c r="N84" i="2" s="1"/>
  <c r="F84" i="2"/>
  <c r="I68" i="2"/>
  <c r="O68" i="2" s="1"/>
  <c r="H68" i="2"/>
  <c r="N68" i="2" s="1"/>
  <c r="F68" i="2"/>
  <c r="I67" i="2"/>
  <c r="O67" i="2" s="1"/>
  <c r="H67" i="2"/>
  <c r="N67" i="2" s="1"/>
  <c r="F67" i="2"/>
  <c r="I58" i="2"/>
  <c r="O58" i="2" s="1"/>
  <c r="H58" i="2"/>
  <c r="N58" i="2" s="1"/>
  <c r="F58" i="2"/>
  <c r="H82" i="2"/>
  <c r="N82" i="2" s="1"/>
  <c r="F82" i="2"/>
  <c r="H81" i="2"/>
  <c r="N81" i="2" s="1"/>
  <c r="F81" i="2"/>
  <c r="H80" i="2"/>
  <c r="N80" i="2" s="1"/>
  <c r="F80" i="2"/>
  <c r="H76" i="2"/>
  <c r="N76" i="2" s="1"/>
  <c r="F76" i="2"/>
  <c r="H75" i="2"/>
  <c r="N75" i="2" s="1"/>
  <c r="F75" i="2"/>
  <c r="H74" i="2"/>
  <c r="N74" i="2" s="1"/>
  <c r="F74" i="2"/>
  <c r="H73" i="2"/>
  <c r="N73" i="2" s="1"/>
  <c r="F73" i="2"/>
  <c r="F121" i="2"/>
  <c r="F118" i="2"/>
  <c r="F116" i="2"/>
  <c r="F114" i="2"/>
  <c r="I112" i="2"/>
  <c r="O112" i="2" s="1"/>
  <c r="I107" i="2"/>
  <c r="O107" i="2" s="1"/>
  <c r="F107" i="2"/>
  <c r="I97" i="2"/>
  <c r="O97" i="2" s="1"/>
  <c r="F97" i="2"/>
  <c r="I95" i="2"/>
  <c r="O95" i="2" s="1"/>
  <c r="F95" i="2"/>
  <c r="I93" i="2"/>
  <c r="O93" i="2" s="1"/>
  <c r="F93" i="2"/>
  <c r="I83" i="2"/>
  <c r="O83" i="2" s="1"/>
  <c r="F83" i="2"/>
  <c r="F79" i="2"/>
  <c r="F78" i="2"/>
  <c r="F77" i="2"/>
  <c r="F72" i="2"/>
  <c r="F71" i="2"/>
  <c r="F70" i="2"/>
  <c r="F69" i="2"/>
  <c r="I66" i="2"/>
  <c r="O66" i="2" s="1"/>
  <c r="F66" i="2"/>
  <c r="I65" i="2"/>
  <c r="O65" i="2" s="1"/>
  <c r="F65" i="2"/>
  <c r="I63" i="2"/>
  <c r="O63" i="2" s="1"/>
  <c r="F63" i="2"/>
  <c r="I59" i="2"/>
  <c r="O59" i="2" s="1"/>
  <c r="F59" i="2"/>
  <c r="I57" i="2"/>
  <c r="O57" i="2" s="1"/>
  <c r="F57" i="2"/>
  <c r="BV71" i="1"/>
  <c r="BR71" i="1"/>
  <c r="BP71" i="1"/>
  <c r="BN71" i="1"/>
  <c r="K71" i="1"/>
  <c r="M71" i="1" s="1"/>
  <c r="V71" i="1"/>
  <c r="X71" i="1" s="1"/>
  <c r="AG71" i="1"/>
  <c r="AI71" i="1" s="1"/>
  <c r="AR71" i="1"/>
  <c r="AT71" i="1" s="1"/>
  <c r="BC71" i="1"/>
  <c r="BE71" i="1" s="1"/>
  <c r="BY71" i="1"/>
  <c r="CA71" i="1" s="1"/>
  <c r="CJ71" i="1"/>
  <c r="CL71" i="1" s="1"/>
  <c r="CN69" i="1"/>
  <c r="CJ69" i="1"/>
  <c r="CR69" i="1" s="1"/>
  <c r="CC69" i="1"/>
  <c r="BY69" i="1"/>
  <c r="CG69" i="1" s="1"/>
  <c r="BR69" i="1"/>
  <c r="BN69" i="1"/>
  <c r="BV69" i="1" s="1"/>
  <c r="BG69" i="1"/>
  <c r="BC69" i="1"/>
  <c r="BK69" i="1" s="1"/>
  <c r="AV69" i="1"/>
  <c r="AR69" i="1"/>
  <c r="AZ69" i="1" s="1"/>
  <c r="AK69" i="1"/>
  <c r="AG69" i="1"/>
  <c r="AO69" i="1" s="1"/>
  <c r="Z69" i="1"/>
  <c r="V69" i="1"/>
  <c r="AD69" i="1" s="1"/>
  <c r="O69" i="1"/>
  <c r="K69" i="1"/>
  <c r="S69" i="1" s="1"/>
  <c r="CN68" i="1"/>
  <c r="CJ68" i="1"/>
  <c r="CR68" i="1" s="1"/>
  <c r="CC68" i="1"/>
  <c r="BY68" i="1"/>
  <c r="CG68" i="1" s="1"/>
  <c r="BR68" i="1"/>
  <c r="BN68" i="1"/>
  <c r="BV68" i="1" s="1"/>
  <c r="BG68" i="1"/>
  <c r="BC68" i="1"/>
  <c r="BK68" i="1" s="1"/>
  <c r="AV68" i="1"/>
  <c r="AR68" i="1"/>
  <c r="AZ68" i="1" s="1"/>
  <c r="AK68" i="1"/>
  <c r="AG68" i="1"/>
  <c r="AO68" i="1" s="1"/>
  <c r="Z68" i="1"/>
  <c r="V68" i="1"/>
  <c r="AD68" i="1" s="1"/>
  <c r="O68" i="1"/>
  <c r="K68" i="1"/>
  <c r="S68" i="1" s="1"/>
  <c r="F75" i="4"/>
  <c r="W18" i="2"/>
  <c r="W38" i="2" l="1"/>
  <c r="W30" i="2"/>
  <c r="W36" i="2"/>
  <c r="W125" i="2"/>
  <c r="W110" i="2"/>
  <c r="W24" i="2"/>
  <c r="W32" i="2"/>
  <c r="W31" i="2"/>
  <c r="W29" i="2"/>
  <c r="W37" i="2"/>
  <c r="W23" i="2"/>
  <c r="CR71" i="1"/>
  <c r="CG71" i="1"/>
  <c r="BK71" i="1"/>
  <c r="AZ71" i="1"/>
  <c r="AO71" i="1"/>
  <c r="AD71" i="1"/>
  <c r="S71" i="1"/>
  <c r="CN71" i="1"/>
  <c r="CC71" i="1"/>
  <c r="BG71" i="1"/>
  <c r="AV71" i="1"/>
  <c r="AK71" i="1"/>
  <c r="Z71" i="1"/>
  <c r="O71" i="1"/>
  <c r="M68" i="1"/>
  <c r="X68" i="1"/>
  <c r="AI68" i="1"/>
  <c r="AT68" i="1"/>
  <c r="BE68" i="1"/>
  <c r="BP68" i="1"/>
  <c r="CA68" i="1"/>
  <c r="CL68" i="1"/>
  <c r="M69" i="1"/>
  <c r="X69" i="1"/>
  <c r="AI69" i="1"/>
  <c r="AT69" i="1"/>
  <c r="BE69" i="1"/>
  <c r="BP69" i="1"/>
  <c r="CA69" i="1"/>
  <c r="CL69" i="1"/>
  <c r="F58" i="1" l="1"/>
  <c r="CJ58" i="1" s="1"/>
  <c r="CR58" i="1" s="1"/>
  <c r="F57" i="1"/>
  <c r="F67" i="1"/>
  <c r="F66" i="1"/>
  <c r="H44" i="2"/>
  <c r="N44" i="2" s="1"/>
  <c r="H40" i="2"/>
  <c r="N40" i="2" s="1"/>
  <c r="H42" i="2"/>
  <c r="D67" i="1"/>
  <c r="D66" i="1"/>
  <c r="D58" i="1"/>
  <c r="D57" i="1"/>
  <c r="H117" i="2"/>
  <c r="N117" i="2" s="1"/>
  <c r="H113" i="2"/>
  <c r="N113" i="2" s="1"/>
  <c r="H115" i="2"/>
  <c r="N115" i="2" s="1"/>
  <c r="D35" i="1"/>
  <c r="D34" i="1"/>
  <c r="D29" i="1"/>
  <c r="F112" i="2" s="1"/>
  <c r="D19" i="1"/>
  <c r="D18" i="1"/>
  <c r="F35" i="1"/>
  <c r="F34" i="1"/>
  <c r="F19" i="1"/>
  <c r="CJ19" i="1" s="1"/>
  <c r="CR19" i="1" s="1"/>
  <c r="F18" i="1"/>
  <c r="CJ83" i="1"/>
  <c r="CR83" i="1" s="1"/>
  <c r="BY83" i="1"/>
  <c r="CA83" i="1" s="1"/>
  <c r="BP83" i="1"/>
  <c r="BN83" i="1"/>
  <c r="BR83" i="1" s="1"/>
  <c r="BE83" i="1"/>
  <c r="BC83" i="1"/>
  <c r="BK83" i="1" s="1"/>
  <c r="AX83" i="1"/>
  <c r="AR83" i="1"/>
  <c r="AZ83" i="1" s="1"/>
  <c r="AG83" i="1"/>
  <c r="AI83" i="1" s="1"/>
  <c r="X83" i="1"/>
  <c r="V83" i="1"/>
  <c r="Z83" i="1" s="1"/>
  <c r="O83" i="1"/>
  <c r="M83" i="1"/>
  <c r="K83" i="1"/>
  <c r="S83" i="1" s="1"/>
  <c r="CJ77" i="1"/>
  <c r="CR77" i="1" s="1"/>
  <c r="BY77" i="1"/>
  <c r="CA77" i="1" s="1"/>
  <c r="BN77" i="1"/>
  <c r="BR77" i="1" s="1"/>
  <c r="BC77" i="1"/>
  <c r="BK77" i="1" s="1"/>
  <c r="AX77" i="1"/>
  <c r="AR77" i="1"/>
  <c r="AZ77" i="1" s="1"/>
  <c r="AG77" i="1"/>
  <c r="AI77" i="1" s="1"/>
  <c r="V77" i="1"/>
  <c r="Z77" i="1" s="1"/>
  <c r="K77" i="1"/>
  <c r="S77" i="1" s="1"/>
  <c r="CJ76" i="1"/>
  <c r="CR76" i="1" s="1"/>
  <c r="BY76" i="1"/>
  <c r="CA76" i="1" s="1"/>
  <c r="BN76" i="1"/>
  <c r="BR76" i="1" s="1"/>
  <c r="BI76" i="1"/>
  <c r="BC76" i="1"/>
  <c r="BK76" i="1" s="1"/>
  <c r="AR76" i="1"/>
  <c r="AZ76" i="1" s="1"/>
  <c r="AG76" i="1"/>
  <c r="AI76" i="1" s="1"/>
  <c r="X76" i="1"/>
  <c r="V76" i="1"/>
  <c r="Z76" i="1" s="1"/>
  <c r="O76" i="1"/>
  <c r="M76" i="1"/>
  <c r="K76" i="1"/>
  <c r="S76" i="1" s="1"/>
  <c r="CJ75" i="1"/>
  <c r="CR75" i="1" s="1"/>
  <c r="BY75" i="1"/>
  <c r="CA75" i="1" s="1"/>
  <c r="BN75" i="1"/>
  <c r="BR75" i="1" s="1"/>
  <c r="BC75" i="1"/>
  <c r="BK75" i="1" s="1"/>
  <c r="AX75" i="1"/>
  <c r="AR75" i="1"/>
  <c r="AZ75" i="1" s="1"/>
  <c r="AG75" i="1"/>
  <c r="AI75" i="1" s="1"/>
  <c r="V75" i="1"/>
  <c r="Z75" i="1" s="1"/>
  <c r="K75" i="1"/>
  <c r="S75" i="1" s="1"/>
  <c r="CJ74" i="1"/>
  <c r="CR74" i="1" s="1"/>
  <c r="BY74" i="1"/>
  <c r="CA74" i="1" s="1"/>
  <c r="BN74" i="1"/>
  <c r="BR74" i="1" s="1"/>
  <c r="BI74" i="1"/>
  <c r="BC74" i="1"/>
  <c r="BK74" i="1" s="1"/>
  <c r="AR74" i="1"/>
  <c r="AZ74" i="1" s="1"/>
  <c r="AG74" i="1"/>
  <c r="AI74" i="1" s="1"/>
  <c r="X74" i="1"/>
  <c r="V74" i="1"/>
  <c r="Z74" i="1" s="1"/>
  <c r="O74" i="1"/>
  <c r="M74" i="1"/>
  <c r="K74" i="1"/>
  <c r="S74" i="1" s="1"/>
  <c r="F72" i="1"/>
  <c r="CS71" i="1"/>
  <c r="D71" i="1"/>
  <c r="F40" i="2" s="1"/>
  <c r="F70" i="1"/>
  <c r="CS69" i="1"/>
  <c r="CS68" i="1"/>
  <c r="CS66" i="1"/>
  <c r="F65" i="1"/>
  <c r="CJ62" i="1"/>
  <c r="CR62" i="1" s="1"/>
  <c r="BY62" i="1"/>
  <c r="CA62" i="1" s="1"/>
  <c r="BN62" i="1"/>
  <c r="BR62" i="1" s="1"/>
  <c r="BC62" i="1"/>
  <c r="BK62" i="1" s="1"/>
  <c r="AR62" i="1"/>
  <c r="AZ62" i="1" s="1"/>
  <c r="AG62" i="1"/>
  <c r="AI62" i="1" s="1"/>
  <c r="V62" i="1"/>
  <c r="Z62" i="1" s="1"/>
  <c r="K62" i="1"/>
  <c r="S62" i="1" s="1"/>
  <c r="CJ60" i="1"/>
  <c r="CR60" i="1" s="1"/>
  <c r="BY60" i="1"/>
  <c r="CA60" i="1" s="1"/>
  <c r="BN60" i="1"/>
  <c r="BR60" i="1" s="1"/>
  <c r="BC60" i="1"/>
  <c r="BK60" i="1" s="1"/>
  <c r="AR60" i="1"/>
  <c r="AZ60" i="1" s="1"/>
  <c r="AG60" i="1"/>
  <c r="AI60" i="1" s="1"/>
  <c r="V60" i="1"/>
  <c r="Z60" i="1" s="1"/>
  <c r="K60" i="1"/>
  <c r="S60" i="1" s="1"/>
  <c r="CJ59" i="1"/>
  <c r="CR59" i="1" s="1"/>
  <c r="BY59" i="1"/>
  <c r="CG59" i="1" s="1"/>
  <c r="BN59" i="1"/>
  <c r="BR59" i="1" s="1"/>
  <c r="BC59" i="1"/>
  <c r="BK59" i="1" s="1"/>
  <c r="AR59" i="1"/>
  <c r="AZ59" i="1" s="1"/>
  <c r="AG59" i="1"/>
  <c r="AO59" i="1" s="1"/>
  <c r="V59" i="1"/>
  <c r="Z59" i="1" s="1"/>
  <c r="K59" i="1"/>
  <c r="S59" i="1" s="1"/>
  <c r="AR58" i="1"/>
  <c r="AZ58" i="1" s="1"/>
  <c r="BY57" i="1"/>
  <c r="CA57" i="1" s="1"/>
  <c r="BN57" i="1"/>
  <c r="BV57" i="1" s="1"/>
  <c r="BC57" i="1"/>
  <c r="BK57" i="1" s="1"/>
  <c r="AG57" i="1"/>
  <c r="AI57" i="1" s="1"/>
  <c r="V57" i="1"/>
  <c r="AD57" i="1" s="1"/>
  <c r="K57" i="1"/>
  <c r="S57" i="1" s="1"/>
  <c r="CJ54" i="1"/>
  <c r="CR54" i="1" s="1"/>
  <c r="BY54" i="1"/>
  <c r="CA54" i="1" s="1"/>
  <c r="BN54" i="1"/>
  <c r="BV54" i="1" s="1"/>
  <c r="BC54" i="1"/>
  <c r="BK54" i="1" s="1"/>
  <c r="AR54" i="1"/>
  <c r="AZ54" i="1" s="1"/>
  <c r="AG54" i="1"/>
  <c r="AI54" i="1" s="1"/>
  <c r="V54" i="1"/>
  <c r="AD54" i="1" s="1"/>
  <c r="K54" i="1"/>
  <c r="S54" i="1" s="1"/>
  <c r="CJ53" i="1"/>
  <c r="CR53" i="1" s="1"/>
  <c r="BY53" i="1"/>
  <c r="CA53" i="1" s="1"/>
  <c r="BN53" i="1"/>
  <c r="BV53" i="1" s="1"/>
  <c r="BC53" i="1"/>
  <c r="BK53" i="1" s="1"/>
  <c r="AR53" i="1"/>
  <c r="AZ53" i="1" s="1"/>
  <c r="AG53" i="1"/>
  <c r="AI53" i="1" s="1"/>
  <c r="V53" i="1"/>
  <c r="AD53" i="1" s="1"/>
  <c r="K53" i="1"/>
  <c r="S53" i="1" s="1"/>
  <c r="CJ52" i="1"/>
  <c r="CR52" i="1" s="1"/>
  <c r="BY52" i="1"/>
  <c r="CA52" i="1" s="1"/>
  <c r="BN52" i="1"/>
  <c r="BV52" i="1" s="1"/>
  <c r="BC52" i="1"/>
  <c r="BK52" i="1" s="1"/>
  <c r="AR52" i="1"/>
  <c r="AZ52" i="1" s="1"/>
  <c r="AG52" i="1"/>
  <c r="AI52" i="1" s="1"/>
  <c r="V52" i="1"/>
  <c r="AD52" i="1" s="1"/>
  <c r="K52" i="1"/>
  <c r="S52" i="1" s="1"/>
  <c r="CJ51" i="1"/>
  <c r="CR51" i="1" s="1"/>
  <c r="BY51" i="1"/>
  <c r="CA51" i="1" s="1"/>
  <c r="BN51" i="1"/>
  <c r="BV51" i="1" s="1"/>
  <c r="BC51" i="1"/>
  <c r="BK51" i="1" s="1"/>
  <c r="AR51" i="1"/>
  <c r="AZ51" i="1" s="1"/>
  <c r="AG51" i="1"/>
  <c r="AI51" i="1" s="1"/>
  <c r="V51" i="1"/>
  <c r="AD51" i="1" s="1"/>
  <c r="K51" i="1"/>
  <c r="S51" i="1" s="1"/>
  <c r="CJ50" i="1"/>
  <c r="CR50" i="1" s="1"/>
  <c r="BY50" i="1"/>
  <c r="CA50" i="1" s="1"/>
  <c r="BN50" i="1"/>
  <c r="BV50" i="1" s="1"/>
  <c r="BC50" i="1"/>
  <c r="BK50" i="1" s="1"/>
  <c r="AR50" i="1"/>
  <c r="AZ50" i="1" s="1"/>
  <c r="AG50" i="1"/>
  <c r="AI50" i="1" s="1"/>
  <c r="V50" i="1"/>
  <c r="AD50" i="1" s="1"/>
  <c r="K50" i="1"/>
  <c r="S50" i="1" s="1"/>
  <c r="CJ49" i="1"/>
  <c r="CR49" i="1" s="1"/>
  <c r="BY49" i="1"/>
  <c r="CA49" i="1" s="1"/>
  <c r="BN49" i="1"/>
  <c r="BV49" i="1" s="1"/>
  <c r="BC49" i="1"/>
  <c r="BK49" i="1" s="1"/>
  <c r="AR49" i="1"/>
  <c r="AZ49" i="1" s="1"/>
  <c r="AG49" i="1"/>
  <c r="AI49" i="1" s="1"/>
  <c r="V49" i="1"/>
  <c r="AD49" i="1" s="1"/>
  <c r="K49" i="1"/>
  <c r="S49" i="1" s="1"/>
  <c r="CJ48" i="1"/>
  <c r="CR48" i="1" s="1"/>
  <c r="BY48" i="1"/>
  <c r="CA48" i="1" s="1"/>
  <c r="BN48" i="1"/>
  <c r="BV48" i="1" s="1"/>
  <c r="BC48" i="1"/>
  <c r="BK48" i="1" s="1"/>
  <c r="AR48" i="1"/>
  <c r="AZ48" i="1" s="1"/>
  <c r="AG48" i="1"/>
  <c r="AI48" i="1" s="1"/>
  <c r="V48" i="1"/>
  <c r="AD48" i="1" s="1"/>
  <c r="K48" i="1"/>
  <c r="S48" i="1" s="1"/>
  <c r="CJ46" i="1"/>
  <c r="CR46" i="1" s="1"/>
  <c r="BY46" i="1"/>
  <c r="CA46" i="1" s="1"/>
  <c r="BN46" i="1"/>
  <c r="BV46" i="1" s="1"/>
  <c r="BC46" i="1"/>
  <c r="BK46" i="1" s="1"/>
  <c r="AR46" i="1"/>
  <c r="AZ46" i="1" s="1"/>
  <c r="AG46" i="1"/>
  <c r="AI46" i="1" s="1"/>
  <c r="V46" i="1"/>
  <c r="AD46" i="1" s="1"/>
  <c r="K46" i="1"/>
  <c r="S46" i="1" s="1"/>
  <c r="CJ44" i="1"/>
  <c r="CR44" i="1" s="1"/>
  <c r="BY44" i="1"/>
  <c r="CA44" i="1" s="1"/>
  <c r="BN44" i="1"/>
  <c r="BR44" i="1" s="1"/>
  <c r="BC44" i="1"/>
  <c r="BK44" i="1" s="1"/>
  <c r="AR44" i="1"/>
  <c r="AZ44" i="1" s="1"/>
  <c r="AG44" i="1"/>
  <c r="AI44" i="1" s="1"/>
  <c r="V44" i="1"/>
  <c r="Z44" i="1" s="1"/>
  <c r="K44" i="1"/>
  <c r="S44" i="1" s="1"/>
  <c r="CJ42" i="1"/>
  <c r="CR42" i="1" s="1"/>
  <c r="BY42" i="1"/>
  <c r="CA42" i="1" s="1"/>
  <c r="BN42" i="1"/>
  <c r="BR42" i="1" s="1"/>
  <c r="BC42" i="1"/>
  <c r="BK42" i="1" s="1"/>
  <c r="AR42" i="1"/>
  <c r="AZ42" i="1" s="1"/>
  <c r="AG42" i="1"/>
  <c r="AI42" i="1" s="1"/>
  <c r="V42" i="1"/>
  <c r="Z42" i="1" s="1"/>
  <c r="K42" i="1"/>
  <c r="S42" i="1" s="1"/>
  <c r="CJ41" i="1"/>
  <c r="CR41" i="1" s="1"/>
  <c r="BY41" i="1"/>
  <c r="CA41" i="1" s="1"/>
  <c r="BN41" i="1"/>
  <c r="BR41" i="1" s="1"/>
  <c r="BC41" i="1"/>
  <c r="BK41" i="1" s="1"/>
  <c r="AR41" i="1"/>
  <c r="AZ41" i="1" s="1"/>
  <c r="AG41" i="1"/>
  <c r="AI41" i="1" s="1"/>
  <c r="V41" i="1"/>
  <c r="Z41" i="1" s="1"/>
  <c r="K41" i="1"/>
  <c r="S41" i="1" s="1"/>
  <c r="CJ40" i="1"/>
  <c r="CR40" i="1" s="1"/>
  <c r="BY40" i="1"/>
  <c r="CG40" i="1" s="1"/>
  <c r="BN40" i="1"/>
  <c r="BR40" i="1" s="1"/>
  <c r="BC40" i="1"/>
  <c r="BK40" i="1" s="1"/>
  <c r="AR40" i="1"/>
  <c r="AZ40" i="1" s="1"/>
  <c r="AG40" i="1"/>
  <c r="AO40" i="1" s="1"/>
  <c r="V40" i="1"/>
  <c r="Z40" i="1" s="1"/>
  <c r="K40" i="1"/>
  <c r="S40" i="1" s="1"/>
  <c r="CJ39" i="1"/>
  <c r="CR39" i="1" s="1"/>
  <c r="BY39" i="1"/>
  <c r="CG39" i="1" s="1"/>
  <c r="BN39" i="1"/>
  <c r="BR39" i="1" s="1"/>
  <c r="BC39" i="1"/>
  <c r="BK39" i="1" s="1"/>
  <c r="AR39" i="1"/>
  <c r="AZ39" i="1" s="1"/>
  <c r="AG39" i="1"/>
  <c r="AO39" i="1" s="1"/>
  <c r="V39" i="1"/>
  <c r="Z39" i="1" s="1"/>
  <c r="K39" i="1"/>
  <c r="S39" i="1" s="1"/>
  <c r="CJ38" i="1"/>
  <c r="CR38" i="1" s="1"/>
  <c r="BY38" i="1"/>
  <c r="CG38" i="1" s="1"/>
  <c r="BN38" i="1"/>
  <c r="BR38" i="1" s="1"/>
  <c r="BC38" i="1"/>
  <c r="BK38" i="1" s="1"/>
  <c r="AR38" i="1"/>
  <c r="AZ38" i="1" s="1"/>
  <c r="AG38" i="1"/>
  <c r="AO38" i="1" s="1"/>
  <c r="V38" i="1"/>
  <c r="Z38" i="1" s="1"/>
  <c r="K38" i="1"/>
  <c r="S38" i="1" s="1"/>
  <c r="CJ37" i="1"/>
  <c r="CR37" i="1" s="1"/>
  <c r="BY37" i="1"/>
  <c r="CG37" i="1" s="1"/>
  <c r="BN37" i="1"/>
  <c r="BR37" i="1" s="1"/>
  <c r="BC37" i="1"/>
  <c r="BK37" i="1" s="1"/>
  <c r="AR37" i="1"/>
  <c r="AZ37" i="1" s="1"/>
  <c r="AG37" i="1"/>
  <c r="AO37" i="1" s="1"/>
  <c r="V37" i="1"/>
  <c r="Z37" i="1" s="1"/>
  <c r="K37" i="1"/>
  <c r="S37" i="1" s="1"/>
  <c r="CJ36" i="1"/>
  <c r="CR36" i="1" s="1"/>
  <c r="BY36" i="1"/>
  <c r="CG36" i="1" s="1"/>
  <c r="BN36" i="1"/>
  <c r="BR36" i="1" s="1"/>
  <c r="BC36" i="1"/>
  <c r="BK36" i="1" s="1"/>
  <c r="AR36" i="1"/>
  <c r="AZ36" i="1" s="1"/>
  <c r="AG36" i="1"/>
  <c r="AO36" i="1" s="1"/>
  <c r="V36" i="1"/>
  <c r="Z36" i="1" s="1"/>
  <c r="K36" i="1"/>
  <c r="S36" i="1" s="1"/>
  <c r="CJ35" i="1"/>
  <c r="CR35" i="1" s="1"/>
  <c r="BY35" i="1"/>
  <c r="CG35" i="1" s="1"/>
  <c r="BN35" i="1"/>
  <c r="BR35" i="1" s="1"/>
  <c r="AG35" i="1"/>
  <c r="AO35" i="1" s="1"/>
  <c r="V35" i="1"/>
  <c r="Z35" i="1" s="1"/>
  <c r="BY34" i="1"/>
  <c r="CG34" i="1" s="1"/>
  <c r="BN34" i="1"/>
  <c r="BR34" i="1" s="1"/>
  <c r="BC34" i="1"/>
  <c r="BK34" i="1" s="1"/>
  <c r="AG34" i="1"/>
  <c r="AO34" i="1" s="1"/>
  <c r="V34" i="1"/>
  <c r="Z34" i="1" s="1"/>
  <c r="K34" i="1"/>
  <c r="S34" i="1" s="1"/>
  <c r="CJ31" i="1"/>
  <c r="CR31" i="1" s="1"/>
  <c r="BY31" i="1"/>
  <c r="CA31" i="1" s="1"/>
  <c r="BN31" i="1"/>
  <c r="BR31" i="1" s="1"/>
  <c r="BC31" i="1"/>
  <c r="BK31" i="1" s="1"/>
  <c r="AR31" i="1"/>
  <c r="AZ31" i="1" s="1"/>
  <c r="AG31" i="1"/>
  <c r="AI31" i="1" s="1"/>
  <c r="V31" i="1"/>
  <c r="Z31" i="1" s="1"/>
  <c r="K31" i="1"/>
  <c r="S31" i="1" s="1"/>
  <c r="CJ29" i="1"/>
  <c r="CR29" i="1" s="1"/>
  <c r="BY29" i="1"/>
  <c r="CA29" i="1" s="1"/>
  <c r="BN29" i="1"/>
  <c r="BV29" i="1" s="1"/>
  <c r="BC29" i="1"/>
  <c r="BK29" i="1" s="1"/>
  <c r="AR29" i="1"/>
  <c r="AZ29" i="1" s="1"/>
  <c r="AG29" i="1"/>
  <c r="AI29" i="1" s="1"/>
  <c r="V29" i="1"/>
  <c r="Z29" i="1" s="1"/>
  <c r="K29" i="1"/>
  <c r="S29" i="1" s="1"/>
  <c r="CJ27" i="1"/>
  <c r="CR27" i="1" s="1"/>
  <c r="BY27" i="1"/>
  <c r="CA27" i="1" s="1"/>
  <c r="BN27" i="1"/>
  <c r="BR27" i="1" s="1"/>
  <c r="BC27" i="1"/>
  <c r="BK27" i="1" s="1"/>
  <c r="AR27" i="1"/>
  <c r="AZ27" i="1" s="1"/>
  <c r="AG27" i="1"/>
  <c r="AI27" i="1" s="1"/>
  <c r="V27" i="1"/>
  <c r="Z27" i="1" s="1"/>
  <c r="K27" i="1"/>
  <c r="S27" i="1" s="1"/>
  <c r="CJ26" i="1"/>
  <c r="CR26" i="1" s="1"/>
  <c r="BY26" i="1"/>
  <c r="CG26" i="1" s="1"/>
  <c r="BN26" i="1"/>
  <c r="BR26" i="1" s="1"/>
  <c r="BC26" i="1"/>
  <c r="BK26" i="1" s="1"/>
  <c r="AR26" i="1"/>
  <c r="AZ26" i="1" s="1"/>
  <c r="AG26" i="1"/>
  <c r="AO26" i="1" s="1"/>
  <c r="V26" i="1"/>
  <c r="Z26" i="1" s="1"/>
  <c r="K26" i="1"/>
  <c r="S26" i="1" s="1"/>
  <c r="CJ25" i="1"/>
  <c r="CR25" i="1" s="1"/>
  <c r="BY25" i="1"/>
  <c r="CG25" i="1" s="1"/>
  <c r="BN25" i="1"/>
  <c r="BR25" i="1" s="1"/>
  <c r="BC25" i="1"/>
  <c r="BK25" i="1" s="1"/>
  <c r="AR25" i="1"/>
  <c r="AZ25" i="1" s="1"/>
  <c r="AG25" i="1"/>
  <c r="AO25" i="1" s="1"/>
  <c r="V25" i="1"/>
  <c r="Z25" i="1" s="1"/>
  <c r="K25" i="1"/>
  <c r="S25" i="1" s="1"/>
  <c r="CJ24" i="1"/>
  <c r="CR24" i="1" s="1"/>
  <c r="BY24" i="1"/>
  <c r="CA24" i="1" s="1"/>
  <c r="BN24" i="1"/>
  <c r="BR24" i="1" s="1"/>
  <c r="BC24" i="1"/>
  <c r="BK24" i="1" s="1"/>
  <c r="AR24" i="1"/>
  <c r="AZ24" i="1" s="1"/>
  <c r="AG24" i="1"/>
  <c r="AI24" i="1" s="1"/>
  <c r="V24" i="1"/>
  <c r="Z24" i="1" s="1"/>
  <c r="K24" i="1"/>
  <c r="S24" i="1" s="1"/>
  <c r="CJ23" i="1"/>
  <c r="CR23" i="1" s="1"/>
  <c r="BY23" i="1"/>
  <c r="CA23" i="1" s="1"/>
  <c r="BN23" i="1"/>
  <c r="BR23" i="1" s="1"/>
  <c r="BC23" i="1"/>
  <c r="BK23" i="1" s="1"/>
  <c r="AR23" i="1"/>
  <c r="AZ23" i="1" s="1"/>
  <c r="AG23" i="1"/>
  <c r="AI23" i="1" s="1"/>
  <c r="V23" i="1"/>
  <c r="Z23" i="1" s="1"/>
  <c r="K23" i="1"/>
  <c r="S23" i="1" s="1"/>
  <c r="CJ22" i="1"/>
  <c r="CR22" i="1" s="1"/>
  <c r="BY22" i="1"/>
  <c r="CA22" i="1" s="1"/>
  <c r="BN22" i="1"/>
  <c r="BR22" i="1" s="1"/>
  <c r="BC22" i="1"/>
  <c r="BK22" i="1" s="1"/>
  <c r="AR22" i="1"/>
  <c r="AZ22" i="1" s="1"/>
  <c r="AG22" i="1"/>
  <c r="AI22" i="1" s="1"/>
  <c r="V22" i="1"/>
  <c r="Z22" i="1" s="1"/>
  <c r="K22" i="1"/>
  <c r="S22" i="1" s="1"/>
  <c r="CJ21" i="1"/>
  <c r="CR21" i="1" s="1"/>
  <c r="BY21" i="1"/>
  <c r="CA21" i="1" s="1"/>
  <c r="BN21" i="1"/>
  <c r="BR21" i="1" s="1"/>
  <c r="BC21" i="1"/>
  <c r="BK21" i="1" s="1"/>
  <c r="AR21" i="1"/>
  <c r="AZ21" i="1" s="1"/>
  <c r="AG21" i="1"/>
  <c r="AI21" i="1" s="1"/>
  <c r="V21" i="1"/>
  <c r="Z21" i="1" s="1"/>
  <c r="K21" i="1"/>
  <c r="S21" i="1" s="1"/>
  <c r="CJ20" i="1"/>
  <c r="CR20" i="1" s="1"/>
  <c r="BY20" i="1"/>
  <c r="CA20" i="1" s="1"/>
  <c r="BN20" i="1"/>
  <c r="BR20" i="1" s="1"/>
  <c r="BC20" i="1"/>
  <c r="BK20" i="1" s="1"/>
  <c r="AR20" i="1"/>
  <c r="AZ20" i="1" s="1"/>
  <c r="AG20" i="1"/>
  <c r="AI20" i="1" s="1"/>
  <c r="V20" i="1"/>
  <c r="Z20" i="1" s="1"/>
  <c r="K20" i="1"/>
  <c r="S20" i="1" s="1"/>
  <c r="BN18" i="1"/>
  <c r="BR18" i="1" s="1"/>
  <c r="BC18" i="1"/>
  <c r="BK18" i="1" s="1"/>
  <c r="AG18" i="1"/>
  <c r="AI18" i="1" s="1"/>
  <c r="V18" i="1"/>
  <c r="Z18" i="1" s="1"/>
  <c r="K18" i="1"/>
  <c r="S18" i="1" s="1"/>
  <c r="F17" i="1"/>
  <c r="AG17" i="1" s="1"/>
  <c r="CJ15" i="1"/>
  <c r="CR15" i="1" s="1"/>
  <c r="BY15" i="1"/>
  <c r="CA15" i="1" s="1"/>
  <c r="BN15" i="1"/>
  <c r="BV15" i="1" s="1"/>
  <c r="BC15" i="1"/>
  <c r="BK15" i="1" s="1"/>
  <c r="AR15" i="1"/>
  <c r="AZ15" i="1" s="1"/>
  <c r="AG15" i="1"/>
  <c r="AI15" i="1" s="1"/>
  <c r="V15" i="1"/>
  <c r="AD15" i="1" s="1"/>
  <c r="K15" i="1"/>
  <c r="S15" i="1" s="1"/>
  <c r="CJ14" i="1"/>
  <c r="CR14" i="1" s="1"/>
  <c r="BY14" i="1"/>
  <c r="CA14" i="1" s="1"/>
  <c r="BN14" i="1"/>
  <c r="BV14" i="1" s="1"/>
  <c r="BC14" i="1"/>
  <c r="BK14" i="1" s="1"/>
  <c r="AR14" i="1"/>
  <c r="AZ14" i="1" s="1"/>
  <c r="AG14" i="1"/>
  <c r="AI14" i="1" s="1"/>
  <c r="V14" i="1"/>
  <c r="AD14" i="1" s="1"/>
  <c r="K14" i="1"/>
  <c r="S14" i="1" s="1"/>
  <c r="CJ13" i="1"/>
  <c r="CR13" i="1" s="1"/>
  <c r="BY13" i="1"/>
  <c r="CA13" i="1" s="1"/>
  <c r="BN13" i="1"/>
  <c r="BV13" i="1" s="1"/>
  <c r="BC13" i="1"/>
  <c r="BK13" i="1" s="1"/>
  <c r="AR13" i="1"/>
  <c r="AZ13" i="1" s="1"/>
  <c r="AG13" i="1"/>
  <c r="AI13" i="1" s="1"/>
  <c r="V13" i="1"/>
  <c r="AD13" i="1" s="1"/>
  <c r="K13" i="1"/>
  <c r="S13" i="1" s="1"/>
  <c r="CJ12" i="1"/>
  <c r="CR12" i="1" s="1"/>
  <c r="BY12" i="1"/>
  <c r="CA12" i="1" s="1"/>
  <c r="BN12" i="1"/>
  <c r="BV12" i="1" s="1"/>
  <c r="BC12" i="1"/>
  <c r="BK12" i="1" s="1"/>
  <c r="AR12" i="1"/>
  <c r="AZ12" i="1" s="1"/>
  <c r="AG12" i="1"/>
  <c r="AI12" i="1" s="1"/>
  <c r="V12" i="1"/>
  <c r="AD12" i="1" s="1"/>
  <c r="K12" i="1"/>
  <c r="S12" i="1" s="1"/>
  <c r="CJ11" i="1"/>
  <c r="CR11" i="1" s="1"/>
  <c r="BY11" i="1"/>
  <c r="CA11" i="1" s="1"/>
  <c r="BN11" i="1"/>
  <c r="BV11" i="1" s="1"/>
  <c r="BC11" i="1"/>
  <c r="BK11" i="1" s="1"/>
  <c r="AR11" i="1"/>
  <c r="AZ11" i="1" s="1"/>
  <c r="AG11" i="1"/>
  <c r="AI11" i="1" s="1"/>
  <c r="V11" i="1"/>
  <c r="AD11" i="1" s="1"/>
  <c r="K11" i="1"/>
  <c r="S11" i="1" s="1"/>
  <c r="CJ10" i="1"/>
  <c r="CR10" i="1" s="1"/>
  <c r="BY10" i="1"/>
  <c r="CA10" i="1" s="1"/>
  <c r="BN10" i="1"/>
  <c r="BR10" i="1" s="1"/>
  <c r="BC10" i="1"/>
  <c r="BK10" i="1" s="1"/>
  <c r="AR10" i="1"/>
  <c r="AZ10" i="1" s="1"/>
  <c r="AG10" i="1"/>
  <c r="AI10" i="1" s="1"/>
  <c r="V10" i="1"/>
  <c r="Z10" i="1" s="1"/>
  <c r="K10" i="1"/>
  <c r="S10" i="1" s="1"/>
  <c r="CJ7" i="1"/>
  <c r="CR7" i="1" s="1"/>
  <c r="BY7" i="1"/>
  <c r="CA7" i="1" s="1"/>
  <c r="BN7" i="1"/>
  <c r="BR7" i="1" s="1"/>
  <c r="BC7" i="1"/>
  <c r="BK7" i="1" s="1"/>
  <c r="AR7" i="1"/>
  <c r="AZ7" i="1" s="1"/>
  <c r="AG7" i="1"/>
  <c r="AI7" i="1" s="1"/>
  <c r="V7" i="1"/>
  <c r="Z7" i="1" s="1"/>
  <c r="K7" i="1"/>
  <c r="S7" i="1" s="1"/>
  <c r="CJ6" i="1"/>
  <c r="CR6" i="1" s="1"/>
  <c r="BY6" i="1"/>
  <c r="CA6" i="1" s="1"/>
  <c r="BN6" i="1"/>
  <c r="BR6" i="1" s="1"/>
  <c r="BC6" i="1"/>
  <c r="BK6" i="1" s="1"/>
  <c r="AR6" i="1"/>
  <c r="AZ6" i="1" s="1"/>
  <c r="AG6" i="1"/>
  <c r="AI6" i="1" s="1"/>
  <c r="V6" i="1"/>
  <c r="Z6" i="1" s="1"/>
  <c r="K6" i="1"/>
  <c r="S6" i="1" s="1"/>
  <c r="CJ5" i="1"/>
  <c r="CR5" i="1" s="1"/>
  <c r="BY5" i="1"/>
  <c r="CA5" i="1" s="1"/>
  <c r="BN5" i="1"/>
  <c r="BR5" i="1" s="1"/>
  <c r="BC5" i="1"/>
  <c r="BK5" i="1" s="1"/>
  <c r="AR5" i="1"/>
  <c r="AZ5" i="1" s="1"/>
  <c r="AG5" i="1"/>
  <c r="AI5" i="1" s="1"/>
  <c r="V5" i="1"/>
  <c r="Z5" i="1" s="1"/>
  <c r="K5" i="1"/>
  <c r="S5" i="1" s="1"/>
  <c r="CQ73" i="4"/>
  <c r="CN73" i="4"/>
  <c r="CL73" i="4"/>
  <c r="CH73" i="4"/>
  <c r="CP73" i="4" s="1"/>
  <c r="CE73" i="4"/>
  <c r="CC73" i="4"/>
  <c r="BW73" i="4"/>
  <c r="BN73" i="4"/>
  <c r="BL73" i="4"/>
  <c r="BG73" i="4"/>
  <c r="BE73" i="4"/>
  <c r="BC73" i="4"/>
  <c r="BA73" i="4"/>
  <c r="BI73" i="4" s="1"/>
  <c r="AV73" i="4"/>
  <c r="AT73" i="4"/>
  <c r="AP73" i="4"/>
  <c r="AX73" i="4" s="1"/>
  <c r="AM73" i="4"/>
  <c r="AE73" i="4"/>
  <c r="AK73" i="4" s="1"/>
  <c r="AB73" i="4"/>
  <c r="V73" i="4"/>
  <c r="T73" i="4"/>
  <c r="O73" i="4"/>
  <c r="M73" i="4"/>
  <c r="K73" i="4"/>
  <c r="I73" i="4"/>
  <c r="Q73" i="4" s="1"/>
  <c r="CS72" i="4"/>
  <c r="CR72" i="4"/>
  <c r="CT72" i="4" s="1"/>
  <c r="CQ72" i="4"/>
  <c r="I72" i="4"/>
  <c r="CQ71" i="4"/>
  <c r="CF71" i="4"/>
  <c r="BU71" i="4"/>
  <c r="BJ71" i="4"/>
  <c r="AY71" i="4"/>
  <c r="AN71" i="4"/>
  <c r="AC71" i="4"/>
  <c r="R71" i="4"/>
  <c r="G71" i="4"/>
  <c r="CQ70" i="4"/>
  <c r="CJ70" i="4"/>
  <c r="CH70" i="4"/>
  <c r="CL70" i="4" s="1"/>
  <c r="BY70" i="4"/>
  <c r="BW70" i="4"/>
  <c r="CC70" i="4" s="1"/>
  <c r="BR70" i="4"/>
  <c r="BP70" i="4"/>
  <c r="BN70" i="4"/>
  <c r="BL70" i="4"/>
  <c r="BT70" i="4" s="1"/>
  <c r="BE70" i="4"/>
  <c r="BA70" i="4"/>
  <c r="BC70" i="4" s="1"/>
  <c r="AR70" i="4"/>
  <c r="AP70" i="4"/>
  <c r="AT70" i="4" s="1"/>
  <c r="AG70" i="4"/>
  <c r="AE70" i="4"/>
  <c r="AK70" i="4" s="1"/>
  <c r="Z70" i="4"/>
  <c r="X70" i="4"/>
  <c r="V70" i="4"/>
  <c r="T70" i="4"/>
  <c r="AB70" i="4" s="1"/>
  <c r="M70" i="4"/>
  <c r="I70" i="4"/>
  <c r="Q70" i="4" s="1"/>
  <c r="CQ69" i="4"/>
  <c r="CH69" i="4"/>
  <c r="CL69" i="4" s="1"/>
  <c r="BW69" i="4"/>
  <c r="CC69" i="4" s="1"/>
  <c r="BR69" i="4"/>
  <c r="BP69" i="4"/>
  <c r="BN69" i="4"/>
  <c r="BL69" i="4"/>
  <c r="BT69" i="4" s="1"/>
  <c r="BA69" i="4"/>
  <c r="BC69" i="4" s="1"/>
  <c r="AP69" i="4"/>
  <c r="AT69" i="4" s="1"/>
  <c r="AE69" i="4"/>
  <c r="AK69" i="4" s="1"/>
  <c r="Z69" i="4"/>
  <c r="X69" i="4"/>
  <c r="V69" i="4"/>
  <c r="T69" i="4"/>
  <c r="AB69" i="4" s="1"/>
  <c r="I69" i="4"/>
  <c r="Q69" i="4" s="1"/>
  <c r="CQ68" i="4"/>
  <c r="CP68" i="4"/>
  <c r="CN68" i="4"/>
  <c r="CH68" i="4"/>
  <c r="CL68" i="4" s="1"/>
  <c r="CE68" i="4"/>
  <c r="CA68" i="4"/>
  <c r="BW68" i="4"/>
  <c r="CC68" i="4" s="1"/>
  <c r="BR68" i="4"/>
  <c r="BP68" i="4"/>
  <c r="BN68" i="4"/>
  <c r="BL68" i="4"/>
  <c r="BT68" i="4" s="1"/>
  <c r="BI68" i="4"/>
  <c r="BG68" i="4"/>
  <c r="BA68" i="4"/>
  <c r="BC68" i="4" s="1"/>
  <c r="AX68" i="4"/>
  <c r="AV68" i="4"/>
  <c r="AP68" i="4"/>
  <c r="AT68" i="4" s="1"/>
  <c r="AM68" i="4"/>
  <c r="AI68" i="4"/>
  <c r="AE68" i="4"/>
  <c r="AK68" i="4" s="1"/>
  <c r="Z68" i="4"/>
  <c r="X68" i="4"/>
  <c r="V68" i="4"/>
  <c r="T68" i="4"/>
  <c r="AB68" i="4" s="1"/>
  <c r="Q68" i="4"/>
  <c r="O68" i="4"/>
  <c r="I68" i="4"/>
  <c r="M68" i="4" s="1"/>
  <c r="CQ67" i="4"/>
  <c r="CP67" i="4"/>
  <c r="CN67" i="4"/>
  <c r="CJ67" i="4"/>
  <c r="CH67" i="4"/>
  <c r="CL67" i="4" s="1"/>
  <c r="CE67" i="4"/>
  <c r="CA67" i="4"/>
  <c r="BY67" i="4"/>
  <c r="BW67" i="4"/>
  <c r="CC67" i="4" s="1"/>
  <c r="BR67" i="4"/>
  <c r="BP67" i="4"/>
  <c r="BN67" i="4"/>
  <c r="BL67" i="4"/>
  <c r="BT67" i="4" s="1"/>
  <c r="BI67" i="4"/>
  <c r="BG67" i="4"/>
  <c r="BE67" i="4"/>
  <c r="BA67" i="4"/>
  <c r="BC67" i="4" s="1"/>
  <c r="AX67" i="4"/>
  <c r="AV67" i="4"/>
  <c r="AR67" i="4"/>
  <c r="AP67" i="4"/>
  <c r="AT67" i="4" s="1"/>
  <c r="AM67" i="4"/>
  <c r="AI67" i="4"/>
  <c r="AG67" i="4"/>
  <c r="AE67" i="4"/>
  <c r="AK67" i="4" s="1"/>
  <c r="Z67" i="4"/>
  <c r="X67" i="4"/>
  <c r="V67" i="4"/>
  <c r="T67" i="4"/>
  <c r="AB67" i="4" s="1"/>
  <c r="Q67" i="4"/>
  <c r="O67" i="4"/>
  <c r="M67" i="4"/>
  <c r="I67" i="4"/>
  <c r="CQ66" i="4"/>
  <c r="CJ66" i="4"/>
  <c r="CH66" i="4"/>
  <c r="CL66" i="4" s="1"/>
  <c r="BY66" i="4"/>
  <c r="BW66" i="4"/>
  <c r="CC66" i="4" s="1"/>
  <c r="BR66" i="4"/>
  <c r="BP66" i="4"/>
  <c r="BN66" i="4"/>
  <c r="BL66" i="4"/>
  <c r="BT66" i="4" s="1"/>
  <c r="BE66" i="4"/>
  <c r="BA66" i="4"/>
  <c r="BC66" i="4" s="1"/>
  <c r="AR66" i="4"/>
  <c r="AP66" i="4"/>
  <c r="AT66" i="4" s="1"/>
  <c r="AG66" i="4"/>
  <c r="AE66" i="4"/>
  <c r="AK66" i="4" s="1"/>
  <c r="Z66" i="4"/>
  <c r="X66" i="4"/>
  <c r="V66" i="4"/>
  <c r="T66" i="4"/>
  <c r="AB66" i="4" s="1"/>
  <c r="M66" i="4"/>
  <c r="I66" i="4"/>
  <c r="Q66" i="4" s="1"/>
  <c r="CQ65" i="4"/>
  <c r="CH65" i="4"/>
  <c r="CL65" i="4" s="1"/>
  <c r="BW65" i="4"/>
  <c r="CC65" i="4" s="1"/>
  <c r="BR65" i="4"/>
  <c r="BP65" i="4"/>
  <c r="BN65" i="4"/>
  <c r="BL65" i="4"/>
  <c r="BT65" i="4" s="1"/>
  <c r="BA65" i="4"/>
  <c r="BC65" i="4" s="1"/>
  <c r="AP65" i="4"/>
  <c r="AT65" i="4" s="1"/>
  <c r="AE65" i="4"/>
  <c r="Z65" i="4"/>
  <c r="X65" i="4"/>
  <c r="V65" i="4"/>
  <c r="T65" i="4"/>
  <c r="AB65" i="4" s="1"/>
  <c r="I65" i="4"/>
  <c r="CQ64" i="4"/>
  <c r="CP64" i="4"/>
  <c r="CN64" i="4"/>
  <c r="CH64" i="4"/>
  <c r="CL64" i="4" s="1"/>
  <c r="CE64" i="4"/>
  <c r="CA64" i="4"/>
  <c r="BW64" i="4"/>
  <c r="CC64" i="4" s="1"/>
  <c r="BR64" i="4"/>
  <c r="BP64" i="4"/>
  <c r="BN64" i="4"/>
  <c r="BL64" i="4"/>
  <c r="BT64" i="4" s="1"/>
  <c r="BI64" i="4"/>
  <c r="BG64" i="4"/>
  <c r="BA64" i="4"/>
  <c r="BC64" i="4" s="1"/>
  <c r="AX64" i="4"/>
  <c r="AV64" i="4"/>
  <c r="AP64" i="4"/>
  <c r="AT64" i="4" s="1"/>
  <c r="AM64" i="4"/>
  <c r="AI64" i="4"/>
  <c r="AE64" i="4"/>
  <c r="AK64" i="4" s="1"/>
  <c r="Z64" i="4"/>
  <c r="X64" i="4"/>
  <c r="V64" i="4"/>
  <c r="T64" i="4"/>
  <c r="AB64" i="4" s="1"/>
  <c r="Q64" i="4"/>
  <c r="O64" i="4"/>
  <c r="I64" i="4"/>
  <c r="M64" i="4" s="1"/>
  <c r="CQ63" i="4"/>
  <c r="CN63" i="4"/>
  <c r="CL63" i="4"/>
  <c r="CH63" i="4"/>
  <c r="CP63" i="4" s="1"/>
  <c r="BW63" i="4"/>
  <c r="CE63" i="4" s="1"/>
  <c r="BT63" i="4"/>
  <c r="BN63" i="4"/>
  <c r="BL63" i="4"/>
  <c r="BG63" i="4"/>
  <c r="BE63" i="4"/>
  <c r="BC63" i="4"/>
  <c r="BA63" i="4"/>
  <c r="BI63" i="4" s="1"/>
  <c r="AV63" i="4"/>
  <c r="AT63" i="4"/>
  <c r="AP63" i="4"/>
  <c r="AX63" i="4" s="1"/>
  <c r="AE63" i="4"/>
  <c r="T63" i="4"/>
  <c r="AB63" i="4" s="1"/>
  <c r="O63" i="4"/>
  <c r="M63" i="4"/>
  <c r="K63" i="4"/>
  <c r="I63" i="4"/>
  <c r="CQ62" i="4"/>
  <c r="CN62" i="4"/>
  <c r="CL62" i="4"/>
  <c r="CH62" i="4"/>
  <c r="CP62" i="4" s="1"/>
  <c r="BW62" i="4"/>
  <c r="BL62" i="4"/>
  <c r="BT62" i="4" s="1"/>
  <c r="BG62" i="4"/>
  <c r="BE62" i="4"/>
  <c r="BC62" i="4"/>
  <c r="BA62" i="4"/>
  <c r="BI62" i="4" s="1"/>
  <c r="AV62" i="4"/>
  <c r="AT62" i="4"/>
  <c r="AP62" i="4"/>
  <c r="AX62" i="4" s="1"/>
  <c r="AM62" i="4"/>
  <c r="AK62" i="4"/>
  <c r="AE62" i="4"/>
  <c r="T62" i="4"/>
  <c r="CR62" i="4" s="1"/>
  <c r="O62" i="4"/>
  <c r="M62" i="4"/>
  <c r="K62" i="4"/>
  <c r="I62" i="4"/>
  <c r="Q62" i="4" s="1"/>
  <c r="CQ61" i="4"/>
  <c r="CP61" i="4"/>
  <c r="CH61" i="4"/>
  <c r="CJ61" i="4" s="1"/>
  <c r="CE61" i="4"/>
  <c r="BW61" i="4"/>
  <c r="CA61" i="4" s="1"/>
  <c r="BT61" i="4"/>
  <c r="BL61" i="4"/>
  <c r="BR61" i="4" s="1"/>
  <c r="BG61" i="4"/>
  <c r="BE61" i="4"/>
  <c r="BC61" i="4"/>
  <c r="BA61" i="4"/>
  <c r="BI61" i="4" s="1"/>
  <c r="AX61" i="4"/>
  <c r="AP61" i="4"/>
  <c r="AR61" i="4" s="1"/>
  <c r="AM61" i="4"/>
  <c r="AE61" i="4"/>
  <c r="AI61" i="4" s="1"/>
  <c r="AB61" i="4"/>
  <c r="T61" i="4"/>
  <c r="Z61" i="4" s="1"/>
  <c r="O61" i="4"/>
  <c r="M61" i="4"/>
  <c r="K61" i="4"/>
  <c r="I61" i="4"/>
  <c r="Q61" i="4" s="1"/>
  <c r="CQ60" i="4"/>
  <c r="CP60" i="4"/>
  <c r="CH60" i="4"/>
  <c r="CJ60" i="4" s="1"/>
  <c r="CE60" i="4"/>
  <c r="BW60" i="4"/>
  <c r="CA60" i="4" s="1"/>
  <c r="BT60" i="4"/>
  <c r="BL60" i="4"/>
  <c r="BR60" i="4" s="1"/>
  <c r="BG60" i="4"/>
  <c r="BE60" i="4"/>
  <c r="BC60" i="4"/>
  <c r="BA60" i="4"/>
  <c r="BI60" i="4" s="1"/>
  <c r="AX60" i="4"/>
  <c r="AP60" i="4"/>
  <c r="AR60" i="4" s="1"/>
  <c r="AM60" i="4"/>
  <c r="AE60" i="4"/>
  <c r="AI60" i="4" s="1"/>
  <c r="AB60" i="4"/>
  <c r="T60" i="4"/>
  <c r="Z60" i="4" s="1"/>
  <c r="O60" i="4"/>
  <c r="M60" i="4"/>
  <c r="K60" i="4"/>
  <c r="I60" i="4"/>
  <c r="Q60" i="4" s="1"/>
  <c r="CQ59" i="4"/>
  <c r="CP59" i="4"/>
  <c r="CH59" i="4"/>
  <c r="CJ59" i="4" s="1"/>
  <c r="CE59" i="4"/>
  <c r="BW59" i="4"/>
  <c r="CA59" i="4" s="1"/>
  <c r="BT59" i="4"/>
  <c r="BL59" i="4"/>
  <c r="BR59" i="4" s="1"/>
  <c r="BG59" i="4"/>
  <c r="BE59" i="4"/>
  <c r="BC59" i="4"/>
  <c r="BA59" i="4"/>
  <c r="BI59" i="4" s="1"/>
  <c r="AX59" i="4"/>
  <c r="AP59" i="4"/>
  <c r="AR59" i="4" s="1"/>
  <c r="AM59" i="4"/>
  <c r="AE59" i="4"/>
  <c r="AI59" i="4" s="1"/>
  <c r="AB59" i="4"/>
  <c r="T59" i="4"/>
  <c r="Z59" i="4" s="1"/>
  <c r="O59" i="4"/>
  <c r="M59" i="4"/>
  <c r="K59" i="4"/>
  <c r="I59" i="4"/>
  <c r="Q59" i="4" s="1"/>
  <c r="CQ58" i="4"/>
  <c r="CP58" i="4"/>
  <c r="CH58" i="4"/>
  <c r="CJ58" i="4" s="1"/>
  <c r="CE58" i="4"/>
  <c r="BW58" i="4"/>
  <c r="CA58" i="4" s="1"/>
  <c r="BT58" i="4"/>
  <c r="BL58" i="4"/>
  <c r="BR58" i="4" s="1"/>
  <c r="BG58" i="4"/>
  <c r="BE58" i="4"/>
  <c r="BC58" i="4"/>
  <c r="BA58" i="4"/>
  <c r="BI58" i="4" s="1"/>
  <c r="AX58" i="4"/>
  <c r="AP58" i="4"/>
  <c r="AR58" i="4" s="1"/>
  <c r="AM58" i="4"/>
  <c r="AE58" i="4"/>
  <c r="AI58" i="4" s="1"/>
  <c r="AB58" i="4"/>
  <c r="T58" i="4"/>
  <c r="Z58" i="4" s="1"/>
  <c r="O58" i="4"/>
  <c r="M58" i="4"/>
  <c r="K58" i="4"/>
  <c r="I58" i="4"/>
  <c r="Q58" i="4" s="1"/>
  <c r="CQ57" i="4"/>
  <c r="CP57" i="4"/>
  <c r="CH57" i="4"/>
  <c r="CJ57" i="4" s="1"/>
  <c r="CE57" i="4"/>
  <c r="BW57" i="4"/>
  <c r="CA57" i="4" s="1"/>
  <c r="BT57" i="4"/>
  <c r="BL57" i="4"/>
  <c r="BR57" i="4" s="1"/>
  <c r="BG57" i="4"/>
  <c r="BE57" i="4"/>
  <c r="BC57" i="4"/>
  <c r="BA57" i="4"/>
  <c r="BI57" i="4" s="1"/>
  <c r="AX57" i="4"/>
  <c r="AP57" i="4"/>
  <c r="AR57" i="4" s="1"/>
  <c r="AM57" i="4"/>
  <c r="AE57" i="4"/>
  <c r="AI57" i="4" s="1"/>
  <c r="AB57" i="4"/>
  <c r="T57" i="4"/>
  <c r="Z57" i="4" s="1"/>
  <c r="O57" i="4"/>
  <c r="M57" i="4"/>
  <c r="K57" i="4"/>
  <c r="I57" i="4"/>
  <c r="Q57" i="4" s="1"/>
  <c r="CQ56" i="4"/>
  <c r="CP56" i="4"/>
  <c r="CH56" i="4"/>
  <c r="CJ56" i="4" s="1"/>
  <c r="CE56" i="4"/>
  <c r="BW56" i="4"/>
  <c r="CA56" i="4" s="1"/>
  <c r="BT56" i="4"/>
  <c r="BL56" i="4"/>
  <c r="BR56" i="4" s="1"/>
  <c r="BG56" i="4"/>
  <c r="BE56" i="4"/>
  <c r="BC56" i="4"/>
  <c r="BA56" i="4"/>
  <c r="BI56" i="4" s="1"/>
  <c r="AX56" i="4"/>
  <c r="AP56" i="4"/>
  <c r="AR56" i="4" s="1"/>
  <c r="AM56" i="4"/>
  <c r="AE56" i="4"/>
  <c r="AI56" i="4" s="1"/>
  <c r="AB56" i="4"/>
  <c r="T56" i="4"/>
  <c r="Z56" i="4" s="1"/>
  <c r="O56" i="4"/>
  <c r="M56" i="4"/>
  <c r="K56" i="4"/>
  <c r="I56" i="4"/>
  <c r="Q56" i="4" s="1"/>
  <c r="CQ55" i="4"/>
  <c r="CP55" i="4"/>
  <c r="CH55" i="4"/>
  <c r="CJ55" i="4" s="1"/>
  <c r="CE55" i="4"/>
  <c r="BW55" i="4"/>
  <c r="CA55" i="4" s="1"/>
  <c r="BT55" i="4"/>
  <c r="BL55" i="4"/>
  <c r="BR55" i="4" s="1"/>
  <c r="BG55" i="4"/>
  <c r="BE55" i="4"/>
  <c r="BC55" i="4"/>
  <c r="BA55" i="4"/>
  <c r="BI55" i="4" s="1"/>
  <c r="AX55" i="4"/>
  <c r="AP55" i="4"/>
  <c r="AR55" i="4" s="1"/>
  <c r="AM55" i="4"/>
  <c r="AE55" i="4"/>
  <c r="AI55" i="4" s="1"/>
  <c r="AB55" i="4"/>
  <c r="T55" i="4"/>
  <c r="Z55" i="4" s="1"/>
  <c r="O55" i="4"/>
  <c r="M55" i="4"/>
  <c r="K55" i="4"/>
  <c r="I55" i="4"/>
  <c r="Q55" i="4" s="1"/>
  <c r="CQ54" i="4"/>
  <c r="CP54" i="4"/>
  <c r="CH54" i="4"/>
  <c r="CJ54" i="4" s="1"/>
  <c r="CE54" i="4"/>
  <c r="BW54" i="4"/>
  <c r="CA54" i="4" s="1"/>
  <c r="BT54" i="4"/>
  <c r="BL54" i="4"/>
  <c r="BR54" i="4" s="1"/>
  <c r="BG54" i="4"/>
  <c r="BE54" i="4"/>
  <c r="BC54" i="4"/>
  <c r="BA54" i="4"/>
  <c r="BI54" i="4" s="1"/>
  <c r="AX54" i="4"/>
  <c r="AP54" i="4"/>
  <c r="AR54" i="4" s="1"/>
  <c r="AM54" i="4"/>
  <c r="AE54" i="4"/>
  <c r="AI54" i="4" s="1"/>
  <c r="AB54" i="4"/>
  <c r="T54" i="4"/>
  <c r="Z54" i="4" s="1"/>
  <c r="O54" i="4"/>
  <c r="M54" i="4"/>
  <c r="K54" i="4"/>
  <c r="I54" i="4"/>
  <c r="Q54" i="4" s="1"/>
  <c r="CQ53" i="4"/>
  <c r="CP53" i="4"/>
  <c r="CH53" i="4"/>
  <c r="CJ53" i="4" s="1"/>
  <c r="CE53" i="4"/>
  <c r="BW53" i="4"/>
  <c r="CA53" i="4" s="1"/>
  <c r="BT53" i="4"/>
  <c r="BL53" i="4"/>
  <c r="BR53" i="4" s="1"/>
  <c r="BG53" i="4"/>
  <c r="BE53" i="4"/>
  <c r="BC53" i="4"/>
  <c r="BA53" i="4"/>
  <c r="BI53" i="4" s="1"/>
  <c r="AX53" i="4"/>
  <c r="AP53" i="4"/>
  <c r="AR53" i="4" s="1"/>
  <c r="AM53" i="4"/>
  <c r="AE53" i="4"/>
  <c r="AI53" i="4" s="1"/>
  <c r="AB53" i="4"/>
  <c r="T53" i="4"/>
  <c r="Z53" i="4" s="1"/>
  <c r="O53" i="4"/>
  <c r="M53" i="4"/>
  <c r="K53" i="4"/>
  <c r="I53" i="4"/>
  <c r="Q53" i="4" s="1"/>
  <c r="CQ52" i="4"/>
  <c r="CP52" i="4"/>
  <c r="CH52" i="4"/>
  <c r="CJ52" i="4" s="1"/>
  <c r="CE52" i="4"/>
  <c r="BW52" i="4"/>
  <c r="CA52" i="4" s="1"/>
  <c r="BT52" i="4"/>
  <c r="BL52" i="4"/>
  <c r="BR52" i="4" s="1"/>
  <c r="BG52" i="4"/>
  <c r="BE52" i="4"/>
  <c r="BC52" i="4"/>
  <c r="BA52" i="4"/>
  <c r="BI52" i="4" s="1"/>
  <c r="AX52" i="4"/>
  <c r="AP52" i="4"/>
  <c r="AR52" i="4" s="1"/>
  <c r="AM52" i="4"/>
  <c r="AE52" i="4"/>
  <c r="AI52" i="4" s="1"/>
  <c r="AB52" i="4"/>
  <c r="T52" i="4"/>
  <c r="Z52" i="4" s="1"/>
  <c r="O52" i="4"/>
  <c r="M52" i="4"/>
  <c r="K52" i="4"/>
  <c r="I52" i="4"/>
  <c r="Q52" i="4" s="1"/>
  <c r="CS51" i="4"/>
  <c r="CQ50" i="4"/>
  <c r="CP50" i="4"/>
  <c r="CH50" i="4"/>
  <c r="CL50" i="4" s="1"/>
  <c r="CE50" i="4"/>
  <c r="BW50" i="4"/>
  <c r="CC50" i="4" s="1"/>
  <c r="BR50" i="4"/>
  <c r="BP50" i="4"/>
  <c r="BN50" i="4"/>
  <c r="BL50" i="4"/>
  <c r="BT50" i="4" s="1"/>
  <c r="BI50" i="4"/>
  <c r="BA50" i="4"/>
  <c r="BC50" i="4" s="1"/>
  <c r="AX50" i="4"/>
  <c r="AP50" i="4"/>
  <c r="AT50" i="4" s="1"/>
  <c r="AM50" i="4"/>
  <c r="AE50" i="4"/>
  <c r="AK50" i="4" s="1"/>
  <c r="Z50" i="4"/>
  <c r="X50" i="4"/>
  <c r="V50" i="4"/>
  <c r="T50" i="4"/>
  <c r="AB50" i="4" s="1"/>
  <c r="Q50" i="4"/>
  <c r="I50" i="4"/>
  <c r="O50" i="4" s="1"/>
  <c r="CQ49" i="4"/>
  <c r="CP49" i="4"/>
  <c r="CN49" i="4"/>
  <c r="CH49" i="4"/>
  <c r="CL49" i="4" s="1"/>
  <c r="CE49" i="4"/>
  <c r="CA49" i="4"/>
  <c r="BW49" i="4"/>
  <c r="CC49" i="4" s="1"/>
  <c r="BR49" i="4"/>
  <c r="BP49" i="4"/>
  <c r="BN49" i="4"/>
  <c r="BL49" i="4"/>
  <c r="BT49" i="4" s="1"/>
  <c r="BI49" i="4"/>
  <c r="BG49" i="4"/>
  <c r="BA49" i="4"/>
  <c r="BC49" i="4" s="1"/>
  <c r="AX49" i="4"/>
  <c r="AV49" i="4"/>
  <c r="AP49" i="4"/>
  <c r="AT49" i="4" s="1"/>
  <c r="AM49" i="4"/>
  <c r="AI49" i="4"/>
  <c r="AE49" i="4"/>
  <c r="AK49" i="4" s="1"/>
  <c r="Z49" i="4"/>
  <c r="X49" i="4"/>
  <c r="V49" i="4"/>
  <c r="T49" i="4"/>
  <c r="AB49" i="4" s="1"/>
  <c r="Q49" i="4"/>
  <c r="O49" i="4"/>
  <c r="I49" i="4"/>
  <c r="M49" i="4" s="1"/>
  <c r="CQ48" i="4"/>
  <c r="CP48" i="4"/>
  <c r="CN48" i="4"/>
  <c r="CJ48" i="4"/>
  <c r="CH48" i="4"/>
  <c r="CL48" i="4" s="1"/>
  <c r="CE48" i="4"/>
  <c r="CA48" i="4"/>
  <c r="BY48" i="4"/>
  <c r="BW48" i="4"/>
  <c r="CC48" i="4" s="1"/>
  <c r="BR48" i="4"/>
  <c r="BP48" i="4"/>
  <c r="BN48" i="4"/>
  <c r="BL48" i="4"/>
  <c r="BT48" i="4" s="1"/>
  <c r="BI48" i="4"/>
  <c r="BG48" i="4"/>
  <c r="BE48" i="4"/>
  <c r="BA48" i="4"/>
  <c r="BC48" i="4" s="1"/>
  <c r="AX48" i="4"/>
  <c r="AV48" i="4"/>
  <c r="AR48" i="4"/>
  <c r="AP48" i="4"/>
  <c r="AT48" i="4" s="1"/>
  <c r="AK48" i="4"/>
  <c r="AE48" i="4"/>
  <c r="AI48" i="4" s="1"/>
  <c r="AB48" i="4"/>
  <c r="Z48" i="4"/>
  <c r="T48" i="4"/>
  <c r="X48" i="4" s="1"/>
  <c r="Q48" i="4"/>
  <c r="M48" i="4"/>
  <c r="I48" i="4"/>
  <c r="K48" i="4" s="1"/>
  <c r="CR47" i="4"/>
  <c r="CQ47" i="4"/>
  <c r="CN47" i="4"/>
  <c r="CL47" i="4"/>
  <c r="CS47" i="4" s="1"/>
  <c r="CJ47" i="4"/>
  <c r="CH47" i="4"/>
  <c r="CP47" i="4" s="1"/>
  <c r="CE47" i="4"/>
  <c r="CC47" i="4"/>
  <c r="CA47" i="4"/>
  <c r="BW47" i="4"/>
  <c r="BY47" i="4" s="1"/>
  <c r="BT47" i="4"/>
  <c r="BR47" i="4"/>
  <c r="BN47" i="4"/>
  <c r="BL47" i="4"/>
  <c r="BP47" i="4" s="1"/>
  <c r="BI47" i="4"/>
  <c r="BE47" i="4"/>
  <c r="BC47" i="4"/>
  <c r="BA47" i="4"/>
  <c r="BG47" i="4" s="1"/>
  <c r="AV47" i="4"/>
  <c r="AT47" i="4"/>
  <c r="AR47" i="4"/>
  <c r="AP47" i="4"/>
  <c r="AX47" i="4" s="1"/>
  <c r="AM47" i="4"/>
  <c r="AK47" i="4"/>
  <c r="AI47" i="4"/>
  <c r="AE47" i="4"/>
  <c r="AG47" i="4" s="1"/>
  <c r="AB47" i="4"/>
  <c r="Z47" i="4"/>
  <c r="V47" i="4"/>
  <c r="T47" i="4"/>
  <c r="X47" i="4" s="1"/>
  <c r="Q47" i="4"/>
  <c r="M47" i="4"/>
  <c r="K47" i="4"/>
  <c r="I47" i="4"/>
  <c r="O47" i="4" s="1"/>
  <c r="CQ46" i="4"/>
  <c r="CN46" i="4"/>
  <c r="CL46" i="4"/>
  <c r="CJ46" i="4"/>
  <c r="CH46" i="4"/>
  <c r="CP46" i="4" s="1"/>
  <c r="CA46" i="4"/>
  <c r="BW46" i="4"/>
  <c r="BY46" i="4" s="1"/>
  <c r="BN46" i="4"/>
  <c r="BL46" i="4"/>
  <c r="BP46" i="4" s="1"/>
  <c r="BC46" i="4"/>
  <c r="BA46" i="4"/>
  <c r="BG46" i="4" s="1"/>
  <c r="AV46" i="4"/>
  <c r="AT46" i="4"/>
  <c r="AR46" i="4"/>
  <c r="AP46" i="4"/>
  <c r="AX46" i="4" s="1"/>
  <c r="AI46" i="4"/>
  <c r="AE46" i="4"/>
  <c r="AG46" i="4" s="1"/>
  <c r="V46" i="4"/>
  <c r="T46" i="4"/>
  <c r="X46" i="4" s="1"/>
  <c r="K46" i="4"/>
  <c r="I46" i="4"/>
  <c r="O46" i="4" s="1"/>
  <c r="CQ45" i="4"/>
  <c r="CN45" i="4"/>
  <c r="CL45" i="4"/>
  <c r="CJ45" i="4"/>
  <c r="CH45" i="4"/>
  <c r="CP45" i="4" s="1"/>
  <c r="BW45" i="4"/>
  <c r="BY45" i="4" s="1"/>
  <c r="BL45" i="4"/>
  <c r="BP45" i="4" s="1"/>
  <c r="BA45" i="4"/>
  <c r="BG45" i="4" s="1"/>
  <c r="AV45" i="4"/>
  <c r="AT45" i="4"/>
  <c r="AR45" i="4"/>
  <c r="AP45" i="4"/>
  <c r="AX45" i="4" s="1"/>
  <c r="AE45" i="4"/>
  <c r="AG45" i="4" s="1"/>
  <c r="T45" i="4"/>
  <c r="X45" i="4" s="1"/>
  <c r="I45" i="4"/>
  <c r="O45" i="4" s="1"/>
  <c r="CQ44" i="4"/>
  <c r="CJ44" i="4"/>
  <c r="CH44" i="4"/>
  <c r="CL44" i="4" s="1"/>
  <c r="CC44" i="4"/>
  <c r="CA44" i="4"/>
  <c r="BY44" i="4"/>
  <c r="BW44" i="4"/>
  <c r="CE44" i="4" s="1"/>
  <c r="BR44" i="4"/>
  <c r="BP44" i="4"/>
  <c r="BL44" i="4"/>
  <c r="BT44" i="4" s="1"/>
  <c r="BA44" i="4"/>
  <c r="BC44" i="4" s="1"/>
  <c r="AR44" i="4"/>
  <c r="AP44" i="4"/>
  <c r="AT44" i="4" s="1"/>
  <c r="AK44" i="4"/>
  <c r="AI44" i="4"/>
  <c r="AG44" i="4"/>
  <c r="AE44" i="4"/>
  <c r="AM44" i="4" s="1"/>
  <c r="Z44" i="4"/>
  <c r="X44" i="4"/>
  <c r="T44" i="4"/>
  <c r="AB44" i="4" s="1"/>
  <c r="I44" i="4"/>
  <c r="CR44" i="4" s="1"/>
  <c r="CS43" i="4"/>
  <c r="CQ42" i="4"/>
  <c r="CN42" i="4"/>
  <c r="CL42" i="4"/>
  <c r="CJ42" i="4"/>
  <c r="CH42" i="4"/>
  <c r="CP42" i="4" s="1"/>
  <c r="CC42" i="4"/>
  <c r="CA42" i="4"/>
  <c r="BW42" i="4"/>
  <c r="CE42" i="4" s="1"/>
  <c r="BL42" i="4"/>
  <c r="BN42" i="4" s="1"/>
  <c r="BC42" i="4"/>
  <c r="BA42" i="4"/>
  <c r="BE42" i="4" s="1"/>
  <c r="AV42" i="4"/>
  <c r="AT42" i="4"/>
  <c r="AR42" i="4"/>
  <c r="AP42" i="4"/>
  <c r="AX42" i="4" s="1"/>
  <c r="AK42" i="4"/>
  <c r="AI42" i="4"/>
  <c r="AE42" i="4"/>
  <c r="AM42" i="4" s="1"/>
  <c r="T42" i="4"/>
  <c r="V42" i="4" s="1"/>
  <c r="K42" i="4"/>
  <c r="I42" i="4"/>
  <c r="M42" i="4" s="1"/>
  <c r="CQ41" i="4"/>
  <c r="CN41" i="4"/>
  <c r="CL41" i="4"/>
  <c r="CJ41" i="4"/>
  <c r="CH41" i="4"/>
  <c r="CP41" i="4" s="1"/>
  <c r="CC41" i="4"/>
  <c r="CA41" i="4"/>
  <c r="BW41" i="4"/>
  <c r="CE41" i="4" s="1"/>
  <c r="BL41" i="4"/>
  <c r="BN41" i="4" s="1"/>
  <c r="BC41" i="4"/>
  <c r="BA41" i="4"/>
  <c r="BE41" i="4" s="1"/>
  <c r="AV41" i="4"/>
  <c r="AT41" i="4"/>
  <c r="AR41" i="4"/>
  <c r="AP41" i="4"/>
  <c r="AX41" i="4" s="1"/>
  <c r="AK41" i="4"/>
  <c r="AI41" i="4"/>
  <c r="AE41" i="4"/>
  <c r="AM41" i="4" s="1"/>
  <c r="T41" i="4"/>
  <c r="V41" i="4" s="1"/>
  <c r="K41" i="4"/>
  <c r="I41" i="4"/>
  <c r="M41" i="4" s="1"/>
  <c r="CQ40" i="4"/>
  <c r="CN40" i="4"/>
  <c r="CL40" i="4"/>
  <c r="CJ40" i="4"/>
  <c r="CH40" i="4"/>
  <c r="CP40" i="4" s="1"/>
  <c r="CC40" i="4"/>
  <c r="CA40" i="4"/>
  <c r="BW40" i="4"/>
  <c r="CE40" i="4" s="1"/>
  <c r="BL40" i="4"/>
  <c r="BN40" i="4" s="1"/>
  <c r="BC40" i="4"/>
  <c r="BA40" i="4"/>
  <c r="BE40" i="4" s="1"/>
  <c r="AV40" i="4"/>
  <c r="AT40" i="4"/>
  <c r="AR40" i="4"/>
  <c r="AP40" i="4"/>
  <c r="AX40" i="4" s="1"/>
  <c r="AK40" i="4"/>
  <c r="AI40" i="4"/>
  <c r="AE40" i="4"/>
  <c r="AM40" i="4" s="1"/>
  <c r="T40" i="4"/>
  <c r="V40" i="4" s="1"/>
  <c r="K40" i="4"/>
  <c r="I40" i="4"/>
  <c r="M40" i="4" s="1"/>
  <c r="CQ39" i="4"/>
  <c r="CN39" i="4"/>
  <c r="CL39" i="4"/>
  <c r="CJ39" i="4"/>
  <c r="CH39" i="4"/>
  <c r="CP39" i="4" s="1"/>
  <c r="CC39" i="4"/>
  <c r="CA39" i="4"/>
  <c r="BW39" i="4"/>
  <c r="CE39" i="4" s="1"/>
  <c r="BL39" i="4"/>
  <c r="BN39" i="4" s="1"/>
  <c r="BC39" i="4"/>
  <c r="BA39" i="4"/>
  <c r="BE39" i="4" s="1"/>
  <c r="AV39" i="4"/>
  <c r="AT39" i="4"/>
  <c r="AR39" i="4"/>
  <c r="AP39" i="4"/>
  <c r="AX39" i="4" s="1"/>
  <c r="AK39" i="4"/>
  <c r="AI39" i="4"/>
  <c r="AE39" i="4"/>
  <c r="AM39" i="4" s="1"/>
  <c r="T39" i="4"/>
  <c r="V39" i="4" s="1"/>
  <c r="K39" i="4"/>
  <c r="I39" i="4"/>
  <c r="M39" i="4" s="1"/>
  <c r="CQ38" i="4"/>
  <c r="CN38" i="4"/>
  <c r="CL38" i="4"/>
  <c r="CJ38" i="4"/>
  <c r="CH38" i="4"/>
  <c r="CP38" i="4" s="1"/>
  <c r="CC38" i="4"/>
  <c r="CA38" i="4"/>
  <c r="BW38" i="4"/>
  <c r="CE38" i="4" s="1"/>
  <c r="BL38" i="4"/>
  <c r="BN38" i="4" s="1"/>
  <c r="BC38" i="4"/>
  <c r="BA38" i="4"/>
  <c r="BE38" i="4" s="1"/>
  <c r="AV38" i="4"/>
  <c r="AT38" i="4"/>
  <c r="AR38" i="4"/>
  <c r="AP38" i="4"/>
  <c r="AX38" i="4" s="1"/>
  <c r="AK38" i="4"/>
  <c r="AI38" i="4"/>
  <c r="AE38" i="4"/>
  <c r="AM38" i="4" s="1"/>
  <c r="T38" i="4"/>
  <c r="V38" i="4" s="1"/>
  <c r="K38" i="4"/>
  <c r="I38" i="4"/>
  <c r="M38" i="4" s="1"/>
  <c r="CQ37" i="4"/>
  <c r="CN37" i="4"/>
  <c r="CL37" i="4"/>
  <c r="CJ37" i="4"/>
  <c r="CH37" i="4"/>
  <c r="CP37" i="4" s="1"/>
  <c r="CC37" i="4"/>
  <c r="CA37" i="4"/>
  <c r="BW37" i="4"/>
  <c r="CE37" i="4" s="1"/>
  <c r="BL37" i="4"/>
  <c r="BN37" i="4" s="1"/>
  <c r="BC37" i="4"/>
  <c r="BA37" i="4"/>
  <c r="BE37" i="4" s="1"/>
  <c r="AV37" i="4"/>
  <c r="AT37" i="4"/>
  <c r="AR37" i="4"/>
  <c r="AP37" i="4"/>
  <c r="AX37" i="4" s="1"/>
  <c r="AK37" i="4"/>
  <c r="AI37" i="4"/>
  <c r="AE37" i="4"/>
  <c r="AM37" i="4" s="1"/>
  <c r="T37" i="4"/>
  <c r="V37" i="4" s="1"/>
  <c r="K37" i="4"/>
  <c r="I37" i="4"/>
  <c r="M37" i="4" s="1"/>
  <c r="CQ36" i="4"/>
  <c r="CN36" i="4"/>
  <c r="CL36" i="4"/>
  <c r="CJ36" i="4"/>
  <c r="CH36" i="4"/>
  <c r="CP36" i="4" s="1"/>
  <c r="CC36" i="4"/>
  <c r="CA36" i="4"/>
  <c r="BW36" i="4"/>
  <c r="CE36" i="4" s="1"/>
  <c r="BL36" i="4"/>
  <c r="BN36" i="4" s="1"/>
  <c r="BC36" i="4"/>
  <c r="BA36" i="4"/>
  <c r="BE36" i="4" s="1"/>
  <c r="AV36" i="4"/>
  <c r="AT36" i="4"/>
  <c r="AR36" i="4"/>
  <c r="AP36" i="4"/>
  <c r="AX36" i="4" s="1"/>
  <c r="AK36" i="4"/>
  <c r="AI36" i="4"/>
  <c r="AE36" i="4"/>
  <c r="AM36" i="4" s="1"/>
  <c r="T36" i="4"/>
  <c r="V36" i="4" s="1"/>
  <c r="K36" i="4"/>
  <c r="I36" i="4"/>
  <c r="M36" i="4" s="1"/>
  <c r="CQ35" i="4"/>
  <c r="CN35" i="4"/>
  <c r="CL35" i="4"/>
  <c r="CJ35" i="4"/>
  <c r="CH35" i="4"/>
  <c r="CP35" i="4" s="1"/>
  <c r="CC35" i="4"/>
  <c r="CA35" i="4"/>
  <c r="BW35" i="4"/>
  <c r="CE35" i="4" s="1"/>
  <c r="BL35" i="4"/>
  <c r="BN35" i="4" s="1"/>
  <c r="BC35" i="4"/>
  <c r="BA35" i="4"/>
  <c r="BE35" i="4" s="1"/>
  <c r="AV35" i="4"/>
  <c r="AT35" i="4"/>
  <c r="AR35" i="4"/>
  <c r="AP35" i="4"/>
  <c r="AX35" i="4" s="1"/>
  <c r="AK35" i="4"/>
  <c r="AI35" i="4"/>
  <c r="AE35" i="4"/>
  <c r="AM35" i="4" s="1"/>
  <c r="T35" i="4"/>
  <c r="V35" i="4" s="1"/>
  <c r="K35" i="4"/>
  <c r="I35" i="4"/>
  <c r="M35" i="4" s="1"/>
  <c r="CQ34" i="4"/>
  <c r="CN34" i="4"/>
  <c r="CL34" i="4"/>
  <c r="CJ34" i="4"/>
  <c r="CH34" i="4"/>
  <c r="CP34" i="4" s="1"/>
  <c r="CC34" i="4"/>
  <c r="CA34" i="4"/>
  <c r="BW34" i="4"/>
  <c r="CE34" i="4" s="1"/>
  <c r="BL34" i="4"/>
  <c r="BN34" i="4" s="1"/>
  <c r="BC34" i="4"/>
  <c r="BA34" i="4"/>
  <c r="BE34" i="4" s="1"/>
  <c r="AV34" i="4"/>
  <c r="AT34" i="4"/>
  <c r="AR34" i="4"/>
  <c r="AP34" i="4"/>
  <c r="AX34" i="4" s="1"/>
  <c r="AK34" i="4"/>
  <c r="AI34" i="4"/>
  <c r="AE34" i="4"/>
  <c r="AM34" i="4" s="1"/>
  <c r="T34" i="4"/>
  <c r="V34" i="4" s="1"/>
  <c r="I34" i="4"/>
  <c r="M34" i="4" s="1"/>
  <c r="CQ33" i="4"/>
  <c r="CN33" i="4"/>
  <c r="CL33" i="4"/>
  <c r="CJ33" i="4"/>
  <c r="CH33" i="4"/>
  <c r="CP33" i="4" s="1"/>
  <c r="CC33" i="4"/>
  <c r="CA33" i="4"/>
  <c r="BW33" i="4"/>
  <c r="CE33" i="4" s="1"/>
  <c r="BL33" i="4"/>
  <c r="BN33" i="4" s="1"/>
  <c r="BA33" i="4"/>
  <c r="BE33" i="4" s="1"/>
  <c r="AV33" i="4"/>
  <c r="AT33" i="4"/>
  <c r="AR33" i="4"/>
  <c r="AP33" i="4"/>
  <c r="AX33" i="4" s="1"/>
  <c r="AK33" i="4"/>
  <c r="AI33" i="4"/>
  <c r="AE33" i="4"/>
  <c r="AM33" i="4" s="1"/>
  <c r="T33" i="4"/>
  <c r="V33" i="4" s="1"/>
  <c r="I33" i="4"/>
  <c r="M33" i="4" s="1"/>
  <c r="CQ32" i="4"/>
  <c r="CN32" i="4"/>
  <c r="CL32" i="4"/>
  <c r="CJ32" i="4"/>
  <c r="CH32" i="4"/>
  <c r="CP32" i="4" s="1"/>
  <c r="CC32" i="4"/>
  <c r="CA32" i="4"/>
  <c r="BW32" i="4"/>
  <c r="CE32" i="4" s="1"/>
  <c r="BL32" i="4"/>
  <c r="BN32" i="4" s="1"/>
  <c r="BA32" i="4"/>
  <c r="BE32" i="4" s="1"/>
  <c r="AV32" i="4"/>
  <c r="AT32" i="4"/>
  <c r="AR32" i="4"/>
  <c r="AP32" i="4"/>
  <c r="AX32" i="4" s="1"/>
  <c r="AK32" i="4"/>
  <c r="AI32" i="4"/>
  <c r="AE32" i="4"/>
  <c r="AM32" i="4" s="1"/>
  <c r="Z32" i="4"/>
  <c r="T32" i="4"/>
  <c r="V32" i="4" s="1"/>
  <c r="I32" i="4"/>
  <c r="M32" i="4" s="1"/>
  <c r="CQ31" i="4"/>
  <c r="CN31" i="4"/>
  <c r="CL31" i="4"/>
  <c r="CJ31" i="4"/>
  <c r="CH31" i="4"/>
  <c r="CP31" i="4" s="1"/>
  <c r="CC31" i="4"/>
  <c r="CA31" i="4"/>
  <c r="BW31" i="4"/>
  <c r="CE31" i="4" s="1"/>
  <c r="BR31" i="4"/>
  <c r="BL31" i="4"/>
  <c r="BN31" i="4" s="1"/>
  <c r="BA31" i="4"/>
  <c r="BE31" i="4" s="1"/>
  <c r="AV31" i="4"/>
  <c r="AT31" i="4"/>
  <c r="AR31" i="4"/>
  <c r="AP31" i="4"/>
  <c r="AX31" i="4" s="1"/>
  <c r="AK31" i="4"/>
  <c r="AI31" i="4"/>
  <c r="AE31" i="4"/>
  <c r="AM31" i="4" s="1"/>
  <c r="Z31" i="4"/>
  <c r="T31" i="4"/>
  <c r="V31" i="4" s="1"/>
  <c r="I31" i="4"/>
  <c r="M31" i="4" s="1"/>
  <c r="CS30" i="4"/>
  <c r="CQ29" i="4"/>
  <c r="CN29" i="4"/>
  <c r="CL29" i="4"/>
  <c r="CH29" i="4"/>
  <c r="CP29" i="4" s="1"/>
  <c r="BW29" i="4"/>
  <c r="BY29" i="4" s="1"/>
  <c r="BL29" i="4"/>
  <c r="BP29" i="4" s="1"/>
  <c r="BG29" i="4"/>
  <c r="BE29" i="4"/>
  <c r="BC29" i="4"/>
  <c r="BA29" i="4"/>
  <c r="BI29" i="4" s="1"/>
  <c r="AV29" i="4"/>
  <c r="AT29" i="4"/>
  <c r="AP29" i="4"/>
  <c r="AX29" i="4" s="1"/>
  <c r="AE29" i="4"/>
  <c r="AG29" i="4" s="1"/>
  <c r="T29" i="4"/>
  <c r="X29" i="4" s="1"/>
  <c r="O29" i="4"/>
  <c r="M29" i="4"/>
  <c r="K29" i="4"/>
  <c r="I29" i="4"/>
  <c r="Q29" i="4" s="1"/>
  <c r="CQ28" i="4"/>
  <c r="CN28" i="4"/>
  <c r="CL28" i="4"/>
  <c r="CH28" i="4"/>
  <c r="CP28" i="4" s="1"/>
  <c r="BW28" i="4"/>
  <c r="BY28" i="4" s="1"/>
  <c r="BN28" i="4"/>
  <c r="BL28" i="4"/>
  <c r="BP28" i="4" s="1"/>
  <c r="BG28" i="4"/>
  <c r="BE28" i="4"/>
  <c r="BC28" i="4"/>
  <c r="BA28" i="4"/>
  <c r="BI28" i="4" s="1"/>
  <c r="AV28" i="4"/>
  <c r="AT28" i="4"/>
  <c r="AP28" i="4"/>
  <c r="AX28" i="4" s="1"/>
  <c r="AE28" i="4"/>
  <c r="AG28" i="4" s="1"/>
  <c r="V28" i="4"/>
  <c r="T28" i="4"/>
  <c r="X28" i="4" s="1"/>
  <c r="O28" i="4"/>
  <c r="M28" i="4"/>
  <c r="K28" i="4"/>
  <c r="I28" i="4"/>
  <c r="Q28" i="4" s="1"/>
  <c r="CQ27" i="4"/>
  <c r="CN27" i="4"/>
  <c r="CL27" i="4"/>
  <c r="CH27" i="4"/>
  <c r="CP27" i="4" s="1"/>
  <c r="BW27" i="4"/>
  <c r="BY27" i="4" s="1"/>
  <c r="BN27" i="4"/>
  <c r="BL27" i="4"/>
  <c r="BP27" i="4" s="1"/>
  <c r="BG27" i="4"/>
  <c r="BE27" i="4"/>
  <c r="BC27" i="4"/>
  <c r="BA27" i="4"/>
  <c r="BI27" i="4" s="1"/>
  <c r="AV27" i="4"/>
  <c r="AT27" i="4"/>
  <c r="AP27" i="4"/>
  <c r="AX27" i="4" s="1"/>
  <c r="AE27" i="4"/>
  <c r="AG27" i="4" s="1"/>
  <c r="V27" i="4"/>
  <c r="T27" i="4"/>
  <c r="X27" i="4" s="1"/>
  <c r="O27" i="4"/>
  <c r="M27" i="4"/>
  <c r="K27" i="4"/>
  <c r="I27" i="4"/>
  <c r="Q27" i="4" s="1"/>
  <c r="CQ26" i="4"/>
  <c r="CN26" i="4"/>
  <c r="CL26" i="4"/>
  <c r="CH26" i="4"/>
  <c r="CP26" i="4" s="1"/>
  <c r="BW26" i="4"/>
  <c r="BY26" i="4" s="1"/>
  <c r="BN26" i="4"/>
  <c r="BL26" i="4"/>
  <c r="BP26" i="4" s="1"/>
  <c r="BG26" i="4"/>
  <c r="BE26" i="4"/>
  <c r="BC26" i="4"/>
  <c r="BA26" i="4"/>
  <c r="BI26" i="4" s="1"/>
  <c r="AV26" i="4"/>
  <c r="AT26" i="4"/>
  <c r="AP26" i="4"/>
  <c r="AX26" i="4" s="1"/>
  <c r="AE26" i="4"/>
  <c r="AG26" i="4" s="1"/>
  <c r="V26" i="4"/>
  <c r="T26" i="4"/>
  <c r="X26" i="4" s="1"/>
  <c r="O26" i="4"/>
  <c r="M26" i="4"/>
  <c r="K26" i="4"/>
  <c r="I26" i="4"/>
  <c r="Q26" i="4" s="1"/>
  <c r="CQ25" i="4"/>
  <c r="CN25" i="4"/>
  <c r="CL25" i="4"/>
  <c r="CH25" i="4"/>
  <c r="CP25" i="4" s="1"/>
  <c r="BW25" i="4"/>
  <c r="CE25" i="4" s="1"/>
  <c r="BN25" i="4"/>
  <c r="BL25" i="4"/>
  <c r="BP25" i="4" s="1"/>
  <c r="BG25" i="4"/>
  <c r="BE25" i="4"/>
  <c r="BC25" i="4"/>
  <c r="BA25" i="4"/>
  <c r="BI25" i="4" s="1"/>
  <c r="AV25" i="4"/>
  <c r="AT25" i="4"/>
  <c r="AP25" i="4"/>
  <c r="AX25" i="4" s="1"/>
  <c r="AM25" i="4"/>
  <c r="AE25" i="4"/>
  <c r="T25" i="4"/>
  <c r="O25" i="4"/>
  <c r="M25" i="4"/>
  <c r="K25" i="4"/>
  <c r="I25" i="4"/>
  <c r="Q25" i="4" s="1"/>
  <c r="CQ24" i="4"/>
  <c r="CN24" i="4"/>
  <c r="CL24" i="4"/>
  <c r="CH24" i="4"/>
  <c r="CP24" i="4" s="1"/>
  <c r="CE24" i="4"/>
  <c r="CC24" i="4"/>
  <c r="BW24" i="4"/>
  <c r="BL24" i="4"/>
  <c r="BG24" i="4"/>
  <c r="BE24" i="4"/>
  <c r="BC24" i="4"/>
  <c r="BA24" i="4"/>
  <c r="BI24" i="4" s="1"/>
  <c r="AV24" i="4"/>
  <c r="AT24" i="4"/>
  <c r="AP24" i="4"/>
  <c r="AX24" i="4" s="1"/>
  <c r="AM24" i="4"/>
  <c r="AE24" i="4"/>
  <c r="AK24" i="4" s="1"/>
  <c r="AB24" i="4"/>
  <c r="V24" i="4"/>
  <c r="T24" i="4"/>
  <c r="O24" i="4"/>
  <c r="M24" i="4"/>
  <c r="K24" i="4"/>
  <c r="I24" i="4"/>
  <c r="Q24" i="4" s="1"/>
  <c r="CQ23" i="4"/>
  <c r="CN23" i="4"/>
  <c r="CL23" i="4"/>
  <c r="CH23" i="4"/>
  <c r="CP23" i="4" s="1"/>
  <c r="CE23" i="4"/>
  <c r="BW23" i="4"/>
  <c r="CC23" i="4" s="1"/>
  <c r="BT23" i="4"/>
  <c r="BN23" i="4"/>
  <c r="BL23" i="4"/>
  <c r="BG23" i="4"/>
  <c r="BE23" i="4"/>
  <c r="BC23" i="4"/>
  <c r="BA23" i="4"/>
  <c r="BI23" i="4" s="1"/>
  <c r="AV23" i="4"/>
  <c r="AT23" i="4"/>
  <c r="AP23" i="4"/>
  <c r="AX23" i="4" s="1"/>
  <c r="AE23" i="4"/>
  <c r="AM23" i="4" s="1"/>
  <c r="AB23" i="4"/>
  <c r="T23" i="4"/>
  <c r="V23" i="4" s="1"/>
  <c r="O23" i="4"/>
  <c r="M23" i="4"/>
  <c r="K23" i="4"/>
  <c r="I23" i="4"/>
  <c r="Q23" i="4" s="1"/>
  <c r="CR22" i="4"/>
  <c r="CQ22" i="4"/>
  <c r="CP22" i="4"/>
  <c r="CN22" i="4"/>
  <c r="CS22" i="4" s="1"/>
  <c r="CL22" i="4"/>
  <c r="CH22" i="4"/>
  <c r="CJ22" i="4" s="1"/>
  <c r="CE22" i="4"/>
  <c r="CC22" i="4"/>
  <c r="BY22" i="4"/>
  <c r="BW22" i="4"/>
  <c r="CA22" i="4" s="1"/>
  <c r="BT22" i="4"/>
  <c r="BP22" i="4"/>
  <c r="BN22" i="4"/>
  <c r="BL22" i="4"/>
  <c r="BR22" i="4" s="1"/>
  <c r="BG22" i="4"/>
  <c r="BE22" i="4"/>
  <c r="BC22" i="4"/>
  <c r="BA22" i="4"/>
  <c r="BI22" i="4" s="1"/>
  <c r="AX22" i="4"/>
  <c r="AV22" i="4"/>
  <c r="AT22" i="4"/>
  <c r="AP22" i="4"/>
  <c r="AR22" i="4" s="1"/>
  <c r="AM22" i="4"/>
  <c r="AK22" i="4"/>
  <c r="AG22" i="4"/>
  <c r="AE22" i="4"/>
  <c r="AI22" i="4" s="1"/>
  <c r="AB22" i="4"/>
  <c r="X22" i="4"/>
  <c r="V22" i="4"/>
  <c r="T22" i="4"/>
  <c r="Z22" i="4" s="1"/>
  <c r="O22" i="4"/>
  <c r="M22" i="4"/>
  <c r="K22" i="4"/>
  <c r="I22" i="4"/>
  <c r="Q22" i="4" s="1"/>
  <c r="CR21" i="4"/>
  <c r="CT21" i="4" s="1"/>
  <c r="CQ21" i="4"/>
  <c r="CP21" i="4"/>
  <c r="CN21" i="4"/>
  <c r="CS21" i="4" s="1"/>
  <c r="CL21" i="4"/>
  <c r="CH21" i="4"/>
  <c r="CJ21" i="4" s="1"/>
  <c r="CE21" i="4"/>
  <c r="CC21" i="4"/>
  <c r="BY21" i="4"/>
  <c r="BW21" i="4"/>
  <c r="CA21" i="4" s="1"/>
  <c r="BT21" i="4"/>
  <c r="BP21" i="4"/>
  <c r="BN21" i="4"/>
  <c r="BL21" i="4"/>
  <c r="BR21" i="4" s="1"/>
  <c r="BG21" i="4"/>
  <c r="BE21" i="4"/>
  <c r="BC21" i="4"/>
  <c r="BA21" i="4"/>
  <c r="BI21" i="4" s="1"/>
  <c r="AX21" i="4"/>
  <c r="AV21" i="4"/>
  <c r="AT21" i="4"/>
  <c r="AP21" i="4"/>
  <c r="AR21" i="4" s="1"/>
  <c r="AM21" i="4"/>
  <c r="AK21" i="4"/>
  <c r="AG21" i="4"/>
  <c r="AE21" i="4"/>
  <c r="AI21" i="4" s="1"/>
  <c r="AB21" i="4"/>
  <c r="X21" i="4"/>
  <c r="V21" i="4"/>
  <c r="T21" i="4"/>
  <c r="Z21" i="4" s="1"/>
  <c r="O21" i="4"/>
  <c r="M21" i="4"/>
  <c r="K21" i="4"/>
  <c r="I21" i="4"/>
  <c r="Q21" i="4" s="1"/>
  <c r="CR20" i="4"/>
  <c r="CQ20" i="4"/>
  <c r="CP20" i="4"/>
  <c r="CN20" i="4"/>
  <c r="CS20" i="4" s="1"/>
  <c r="CL20" i="4"/>
  <c r="CH20" i="4"/>
  <c r="CJ20" i="4" s="1"/>
  <c r="CE20" i="4"/>
  <c r="CC20" i="4"/>
  <c r="BY20" i="4"/>
  <c r="BW20" i="4"/>
  <c r="CA20" i="4" s="1"/>
  <c r="BT20" i="4"/>
  <c r="BP20" i="4"/>
  <c r="BN20" i="4"/>
  <c r="BL20" i="4"/>
  <c r="BR20" i="4" s="1"/>
  <c r="BG20" i="4"/>
  <c r="BE20" i="4"/>
  <c r="BC20" i="4"/>
  <c r="BA20" i="4"/>
  <c r="BI20" i="4" s="1"/>
  <c r="AX20" i="4"/>
  <c r="AV20" i="4"/>
  <c r="AT20" i="4"/>
  <c r="AP20" i="4"/>
  <c r="AR20" i="4" s="1"/>
  <c r="AM20" i="4"/>
  <c r="AK20" i="4"/>
  <c r="AG20" i="4"/>
  <c r="AE20" i="4"/>
  <c r="AI20" i="4" s="1"/>
  <c r="AB20" i="4"/>
  <c r="X20" i="4"/>
  <c r="V20" i="4"/>
  <c r="T20" i="4"/>
  <c r="Z20" i="4" s="1"/>
  <c r="O20" i="4"/>
  <c r="M20" i="4"/>
  <c r="K20" i="4"/>
  <c r="I20" i="4"/>
  <c r="Q20" i="4" s="1"/>
  <c r="CR19" i="4"/>
  <c r="CT19" i="4" s="1"/>
  <c r="CQ19" i="4"/>
  <c r="CP19" i="4"/>
  <c r="CN19" i="4"/>
  <c r="CS19" i="4" s="1"/>
  <c r="CL19" i="4"/>
  <c r="CH19" i="4"/>
  <c r="CJ19" i="4" s="1"/>
  <c r="CE19" i="4"/>
  <c r="CC19" i="4"/>
  <c r="BY19" i="4"/>
  <c r="BW19" i="4"/>
  <c r="CA19" i="4" s="1"/>
  <c r="BT19" i="4"/>
  <c r="BP19" i="4"/>
  <c r="BN19" i="4"/>
  <c r="BL19" i="4"/>
  <c r="BR19" i="4" s="1"/>
  <c r="BG19" i="4"/>
  <c r="BE19" i="4"/>
  <c r="BC19" i="4"/>
  <c r="BA19" i="4"/>
  <c r="BI19" i="4" s="1"/>
  <c r="AX19" i="4"/>
  <c r="AV19" i="4"/>
  <c r="AT19" i="4"/>
  <c r="AP19" i="4"/>
  <c r="AR19" i="4" s="1"/>
  <c r="AM19" i="4"/>
  <c r="AK19" i="4"/>
  <c r="AG19" i="4"/>
  <c r="AE19" i="4"/>
  <c r="AI19" i="4" s="1"/>
  <c r="AB19" i="4"/>
  <c r="X19" i="4"/>
  <c r="V19" i="4"/>
  <c r="T19" i="4"/>
  <c r="Z19" i="4" s="1"/>
  <c r="O19" i="4"/>
  <c r="M19" i="4"/>
  <c r="K19" i="4"/>
  <c r="I19" i="4"/>
  <c r="Q19" i="4" s="1"/>
  <c r="CR18" i="4"/>
  <c r="CQ18" i="4"/>
  <c r="CP18" i="4"/>
  <c r="CN18" i="4"/>
  <c r="CS18" i="4" s="1"/>
  <c r="CL18" i="4"/>
  <c r="CH18" i="4"/>
  <c r="CJ18" i="4" s="1"/>
  <c r="CE18" i="4"/>
  <c r="CC18" i="4"/>
  <c r="BY18" i="4"/>
  <c r="BW18" i="4"/>
  <c r="CA18" i="4" s="1"/>
  <c r="BT18" i="4"/>
  <c r="BP18" i="4"/>
  <c r="BN18" i="4"/>
  <c r="BL18" i="4"/>
  <c r="BR18" i="4" s="1"/>
  <c r="BG18" i="4"/>
  <c r="BE18" i="4"/>
  <c r="BC18" i="4"/>
  <c r="BA18" i="4"/>
  <c r="BI18" i="4" s="1"/>
  <c r="AX18" i="4"/>
  <c r="AV18" i="4"/>
  <c r="AT18" i="4"/>
  <c r="AP18" i="4"/>
  <c r="AR18" i="4" s="1"/>
  <c r="AM18" i="4"/>
  <c r="AK18" i="4"/>
  <c r="AG18" i="4"/>
  <c r="AE18" i="4"/>
  <c r="AI18" i="4" s="1"/>
  <c r="AB18" i="4"/>
  <c r="X18" i="4"/>
  <c r="V18" i="4"/>
  <c r="T18" i="4"/>
  <c r="Z18" i="4" s="1"/>
  <c r="O18" i="4"/>
  <c r="M18" i="4"/>
  <c r="K18" i="4"/>
  <c r="I18" i="4"/>
  <c r="Q18" i="4" s="1"/>
  <c r="CR17" i="4"/>
  <c r="CT17" i="4" s="1"/>
  <c r="CQ17" i="4"/>
  <c r="CP17" i="4"/>
  <c r="CN17" i="4"/>
  <c r="CS17" i="4" s="1"/>
  <c r="CL17" i="4"/>
  <c r="CH17" i="4"/>
  <c r="CJ17" i="4" s="1"/>
  <c r="CE17" i="4"/>
  <c r="CC17" i="4"/>
  <c r="BY17" i="4"/>
  <c r="BW17" i="4"/>
  <c r="CA17" i="4" s="1"/>
  <c r="BT17" i="4"/>
  <c r="BP17" i="4"/>
  <c r="BN17" i="4"/>
  <c r="BL17" i="4"/>
  <c r="BR17" i="4" s="1"/>
  <c r="BG17" i="4"/>
  <c r="BE17" i="4"/>
  <c r="BC17" i="4"/>
  <c r="BA17" i="4"/>
  <c r="BI17" i="4" s="1"/>
  <c r="AX17" i="4"/>
  <c r="AV17" i="4"/>
  <c r="AT17" i="4"/>
  <c r="AP17" i="4"/>
  <c r="AR17" i="4" s="1"/>
  <c r="AM17" i="4"/>
  <c r="AK17" i="4"/>
  <c r="AG17" i="4"/>
  <c r="AE17" i="4"/>
  <c r="AI17" i="4" s="1"/>
  <c r="AB17" i="4"/>
  <c r="X17" i="4"/>
  <c r="V17" i="4"/>
  <c r="T17" i="4"/>
  <c r="Z17" i="4" s="1"/>
  <c r="O17" i="4"/>
  <c r="M17" i="4"/>
  <c r="K17" i="4"/>
  <c r="I17" i="4"/>
  <c r="Q17" i="4" s="1"/>
  <c r="CR16" i="4"/>
  <c r="CQ16" i="4"/>
  <c r="CP16" i="4"/>
  <c r="CN16" i="4"/>
  <c r="CS16" i="4" s="1"/>
  <c r="CL16" i="4"/>
  <c r="CH16" i="4"/>
  <c r="CJ16" i="4" s="1"/>
  <c r="CE16" i="4"/>
  <c r="CC16" i="4"/>
  <c r="BY16" i="4"/>
  <c r="BW16" i="4"/>
  <c r="CA16" i="4" s="1"/>
  <c r="BT16" i="4"/>
  <c r="BP16" i="4"/>
  <c r="BN16" i="4"/>
  <c r="BL16" i="4"/>
  <c r="BR16" i="4" s="1"/>
  <c r="BG16" i="4"/>
  <c r="BE16" i="4"/>
  <c r="BC16" i="4"/>
  <c r="BA16" i="4"/>
  <c r="BI16" i="4" s="1"/>
  <c r="AX16" i="4"/>
  <c r="AV16" i="4"/>
  <c r="AT16" i="4"/>
  <c r="AP16" i="4"/>
  <c r="AR16" i="4" s="1"/>
  <c r="AM16" i="4"/>
  <c r="AK16" i="4"/>
  <c r="AG16" i="4"/>
  <c r="AE16" i="4"/>
  <c r="AI16" i="4" s="1"/>
  <c r="AB16" i="4"/>
  <c r="X16" i="4"/>
  <c r="V16" i="4"/>
  <c r="T16" i="4"/>
  <c r="Z16" i="4" s="1"/>
  <c r="O16" i="4"/>
  <c r="M16" i="4"/>
  <c r="K16" i="4"/>
  <c r="I16" i="4"/>
  <c r="Q16" i="4" s="1"/>
  <c r="CR15" i="4"/>
  <c r="CT15" i="4" s="1"/>
  <c r="CQ15" i="4"/>
  <c r="CP15" i="4"/>
  <c r="CN15" i="4"/>
  <c r="CS15" i="4" s="1"/>
  <c r="CL15" i="4"/>
  <c r="CH15" i="4"/>
  <c r="CJ15" i="4" s="1"/>
  <c r="CE15" i="4"/>
  <c r="CC15" i="4"/>
  <c r="BY15" i="4"/>
  <c r="BW15" i="4"/>
  <c r="CA15" i="4" s="1"/>
  <c r="BT15" i="4"/>
  <c r="BP15" i="4"/>
  <c r="BN15" i="4"/>
  <c r="BL15" i="4"/>
  <c r="BR15" i="4" s="1"/>
  <c r="BG15" i="4"/>
  <c r="BE15" i="4"/>
  <c r="BC15" i="4"/>
  <c r="BA15" i="4"/>
  <c r="BI15" i="4" s="1"/>
  <c r="AX15" i="4"/>
  <c r="AV15" i="4"/>
  <c r="AT15" i="4"/>
  <c r="AP15" i="4"/>
  <c r="AR15" i="4" s="1"/>
  <c r="AM15" i="4"/>
  <c r="AK15" i="4"/>
  <c r="AG15" i="4"/>
  <c r="AE15" i="4"/>
  <c r="AI15" i="4" s="1"/>
  <c r="AB15" i="4"/>
  <c r="X15" i="4"/>
  <c r="V15" i="4"/>
  <c r="T15" i="4"/>
  <c r="Z15" i="4" s="1"/>
  <c r="O15" i="4"/>
  <c r="M15" i="4"/>
  <c r="K15" i="4"/>
  <c r="I15" i="4"/>
  <c r="Q15" i="4" s="1"/>
  <c r="CR14" i="4"/>
  <c r="CQ14" i="4"/>
  <c r="CP14" i="4"/>
  <c r="CN14" i="4"/>
  <c r="CS14" i="4" s="1"/>
  <c r="CL14" i="4"/>
  <c r="CH14" i="4"/>
  <c r="CJ14" i="4" s="1"/>
  <c r="CE14" i="4"/>
  <c r="CC14" i="4"/>
  <c r="BY14" i="4"/>
  <c r="BW14" i="4"/>
  <c r="CA14" i="4" s="1"/>
  <c r="BT14" i="4"/>
  <c r="BP14" i="4"/>
  <c r="BN14" i="4"/>
  <c r="BL14" i="4"/>
  <c r="BR14" i="4" s="1"/>
  <c r="BG14" i="4"/>
  <c r="BE14" i="4"/>
  <c r="BC14" i="4"/>
  <c r="BA14" i="4"/>
  <c r="BI14" i="4" s="1"/>
  <c r="AX14" i="4"/>
  <c r="AV14" i="4"/>
  <c r="AT14" i="4"/>
  <c r="AP14" i="4"/>
  <c r="AR14" i="4" s="1"/>
  <c r="AM14" i="4"/>
  <c r="AK14" i="4"/>
  <c r="AG14" i="4"/>
  <c r="AE14" i="4"/>
  <c r="AI14" i="4" s="1"/>
  <c r="AB14" i="4"/>
  <c r="X14" i="4"/>
  <c r="V14" i="4"/>
  <c r="T14" i="4"/>
  <c r="Z14" i="4" s="1"/>
  <c r="O14" i="4"/>
  <c r="M14" i="4"/>
  <c r="K14" i="4"/>
  <c r="I14" i="4"/>
  <c r="Q14" i="4" s="1"/>
  <c r="CR13" i="4"/>
  <c r="CQ13" i="4"/>
  <c r="CP13" i="4"/>
  <c r="CN13" i="4"/>
  <c r="CL13" i="4"/>
  <c r="CH13" i="4"/>
  <c r="CJ13" i="4" s="1"/>
  <c r="CE13" i="4"/>
  <c r="CC13" i="4"/>
  <c r="BY13" i="4"/>
  <c r="BW13" i="4"/>
  <c r="CA13" i="4" s="1"/>
  <c r="BT13" i="4"/>
  <c r="BP13" i="4"/>
  <c r="BN13" i="4"/>
  <c r="BL13" i="4"/>
  <c r="BR13" i="4" s="1"/>
  <c r="BG13" i="4"/>
  <c r="BE13" i="4"/>
  <c r="BC13" i="4"/>
  <c r="BA13" i="4"/>
  <c r="BI13" i="4" s="1"/>
  <c r="AX13" i="4"/>
  <c r="AV13" i="4"/>
  <c r="AT13" i="4"/>
  <c r="AP13" i="4"/>
  <c r="AR13" i="4" s="1"/>
  <c r="AM13" i="4"/>
  <c r="AK13" i="4"/>
  <c r="AG13" i="4"/>
  <c r="AE13" i="4"/>
  <c r="AI13" i="4" s="1"/>
  <c r="AB13" i="4"/>
  <c r="X13" i="4"/>
  <c r="V13" i="4"/>
  <c r="T13" i="4"/>
  <c r="Z13" i="4" s="1"/>
  <c r="O13" i="4"/>
  <c r="M13" i="4"/>
  <c r="I13" i="4"/>
  <c r="Q13" i="4" s="1"/>
  <c r="CQ12" i="4"/>
  <c r="CP12" i="4"/>
  <c r="CH12" i="4"/>
  <c r="CJ12" i="4" s="1"/>
  <c r="BW12" i="4"/>
  <c r="CA12" i="4" s="1"/>
  <c r="BR12" i="4"/>
  <c r="BP12" i="4"/>
  <c r="BN12" i="4"/>
  <c r="BL12" i="4"/>
  <c r="BT12" i="4" s="1"/>
  <c r="BG12" i="4"/>
  <c r="BE12" i="4"/>
  <c r="BA12" i="4"/>
  <c r="BI12" i="4" s="1"/>
  <c r="AV12" i="4"/>
  <c r="AP12" i="4"/>
  <c r="AR12" i="4" s="1"/>
  <c r="AE12" i="4"/>
  <c r="AI12" i="4" s="1"/>
  <c r="Z12" i="4"/>
  <c r="X12" i="4"/>
  <c r="V12" i="4"/>
  <c r="T12" i="4"/>
  <c r="AB12" i="4" s="1"/>
  <c r="O12" i="4"/>
  <c r="M12" i="4"/>
  <c r="I12" i="4"/>
  <c r="Q12" i="4" s="1"/>
  <c r="CQ11" i="4"/>
  <c r="CN11" i="4"/>
  <c r="CH11" i="4"/>
  <c r="CJ11" i="4" s="1"/>
  <c r="BW11" i="4"/>
  <c r="CA11" i="4" s="1"/>
  <c r="BR11" i="4"/>
  <c r="BP11" i="4"/>
  <c r="BN11" i="4"/>
  <c r="BL11" i="4"/>
  <c r="BT11" i="4" s="1"/>
  <c r="BG11" i="4"/>
  <c r="BE11" i="4"/>
  <c r="BA11" i="4"/>
  <c r="BI11" i="4" s="1"/>
  <c r="AV11" i="4"/>
  <c r="AP11" i="4"/>
  <c r="AR11" i="4" s="1"/>
  <c r="AE11" i="4"/>
  <c r="AI11" i="4" s="1"/>
  <c r="Z11" i="4"/>
  <c r="X11" i="4"/>
  <c r="V11" i="4"/>
  <c r="T11" i="4"/>
  <c r="AB11" i="4" s="1"/>
  <c r="O11" i="4"/>
  <c r="M11" i="4"/>
  <c r="I11" i="4"/>
  <c r="Q11" i="4" s="1"/>
  <c r="CQ10" i="4"/>
  <c r="CN10" i="4"/>
  <c r="CH10" i="4"/>
  <c r="CJ10" i="4" s="1"/>
  <c r="BW10" i="4"/>
  <c r="CA10" i="4" s="1"/>
  <c r="BR10" i="4"/>
  <c r="BP10" i="4"/>
  <c r="BN10" i="4"/>
  <c r="BL10" i="4"/>
  <c r="BT10" i="4" s="1"/>
  <c r="BG10" i="4"/>
  <c r="BE10" i="4"/>
  <c r="BA10" i="4"/>
  <c r="BI10" i="4" s="1"/>
  <c r="AV10" i="4"/>
  <c r="AP10" i="4"/>
  <c r="AR10" i="4" s="1"/>
  <c r="AE10" i="4"/>
  <c r="AI10" i="4" s="1"/>
  <c r="Z10" i="4"/>
  <c r="X10" i="4"/>
  <c r="V10" i="4"/>
  <c r="T10" i="4"/>
  <c r="AB10" i="4" s="1"/>
  <c r="O10" i="4"/>
  <c r="M10" i="4"/>
  <c r="I10" i="4"/>
  <c r="Q10" i="4" s="1"/>
  <c r="CQ9" i="4"/>
  <c r="CN9" i="4"/>
  <c r="CH9" i="4"/>
  <c r="CJ9" i="4" s="1"/>
  <c r="BW9" i="4"/>
  <c r="CA9" i="4" s="1"/>
  <c r="BR9" i="4"/>
  <c r="BP9" i="4"/>
  <c r="BN9" i="4"/>
  <c r="BL9" i="4"/>
  <c r="BT9" i="4" s="1"/>
  <c r="BG9" i="4"/>
  <c r="BE9" i="4"/>
  <c r="BA9" i="4"/>
  <c r="BI9" i="4" s="1"/>
  <c r="AV9" i="4"/>
  <c r="AP9" i="4"/>
  <c r="AR9" i="4" s="1"/>
  <c r="AE9" i="4"/>
  <c r="AI9" i="4" s="1"/>
  <c r="Z9" i="4"/>
  <c r="X9" i="4"/>
  <c r="V9" i="4"/>
  <c r="T9" i="4"/>
  <c r="AB9" i="4" s="1"/>
  <c r="O9" i="4"/>
  <c r="M9" i="4"/>
  <c r="I9" i="4"/>
  <c r="Q9" i="4" s="1"/>
  <c r="CQ8" i="4"/>
  <c r="CN8" i="4"/>
  <c r="CH8" i="4"/>
  <c r="CJ8" i="4" s="1"/>
  <c r="CE8" i="4"/>
  <c r="BW8" i="4"/>
  <c r="BY8" i="4" s="1"/>
  <c r="BR8" i="4"/>
  <c r="BP8" i="4"/>
  <c r="BN8" i="4"/>
  <c r="BL8" i="4"/>
  <c r="BT8" i="4" s="1"/>
  <c r="BG8" i="4"/>
  <c r="BE8" i="4"/>
  <c r="BA8" i="4"/>
  <c r="BC8" i="4" s="1"/>
  <c r="AV8" i="4"/>
  <c r="AP8" i="4"/>
  <c r="AR8" i="4" s="1"/>
  <c r="AE8" i="4"/>
  <c r="AM8" i="4" s="1"/>
  <c r="Z8" i="4"/>
  <c r="X8" i="4"/>
  <c r="V8" i="4"/>
  <c r="T8" i="4"/>
  <c r="AB8" i="4" s="1"/>
  <c r="O8" i="4"/>
  <c r="M8" i="4"/>
  <c r="I8" i="4"/>
  <c r="CR8" i="4" s="1"/>
  <c r="CQ7" i="4"/>
  <c r="CN7" i="4"/>
  <c r="CH7" i="4"/>
  <c r="CP7" i="4" s="1"/>
  <c r="BW7" i="4"/>
  <c r="CA7" i="4" s="1"/>
  <c r="BR7" i="4"/>
  <c r="BP7" i="4"/>
  <c r="BN7" i="4"/>
  <c r="BL7" i="4"/>
  <c r="BT7" i="4" s="1"/>
  <c r="BG7" i="4"/>
  <c r="BE7" i="4"/>
  <c r="BA7" i="4"/>
  <c r="BI7" i="4" s="1"/>
  <c r="AV7" i="4"/>
  <c r="AP7" i="4"/>
  <c r="AR7" i="4" s="1"/>
  <c r="AE7" i="4"/>
  <c r="AM7" i="4" s="1"/>
  <c r="Z7" i="4"/>
  <c r="X7" i="4"/>
  <c r="V7" i="4"/>
  <c r="T7" i="4"/>
  <c r="AB7" i="4" s="1"/>
  <c r="O7" i="4"/>
  <c r="M7" i="4"/>
  <c r="I7" i="4"/>
  <c r="Q7" i="4" s="1"/>
  <c r="CQ6" i="4"/>
  <c r="CN6" i="4"/>
  <c r="CH6" i="4"/>
  <c r="CP6" i="4" s="1"/>
  <c r="BW6" i="4"/>
  <c r="CA6" i="4" s="1"/>
  <c r="BR6" i="4"/>
  <c r="BP6" i="4"/>
  <c r="BN6" i="4"/>
  <c r="BL6" i="4"/>
  <c r="BT6" i="4" s="1"/>
  <c r="BG6" i="4"/>
  <c r="BE6" i="4"/>
  <c r="BA6" i="4"/>
  <c r="BI6" i="4" s="1"/>
  <c r="AV6" i="4"/>
  <c r="AP6" i="4"/>
  <c r="AR6" i="4" s="1"/>
  <c r="AE6" i="4"/>
  <c r="AG6" i="4" s="1"/>
  <c r="Z6" i="4"/>
  <c r="X6" i="4"/>
  <c r="V6" i="4"/>
  <c r="T6" i="4"/>
  <c r="AB6" i="4" s="1"/>
  <c r="O6" i="4"/>
  <c r="M6" i="4"/>
  <c r="I6" i="4"/>
  <c r="Q6" i="4" s="1"/>
  <c r="CQ5" i="4"/>
  <c r="CN5" i="4"/>
  <c r="CH5" i="4"/>
  <c r="CP5" i="4" s="1"/>
  <c r="CE5" i="4"/>
  <c r="BW5" i="4"/>
  <c r="CA5" i="4" s="1"/>
  <c r="BR5" i="4"/>
  <c r="BP5" i="4"/>
  <c r="BN5" i="4"/>
  <c r="BL5" i="4"/>
  <c r="BT5" i="4" s="1"/>
  <c r="BG5" i="4"/>
  <c r="BE5" i="4"/>
  <c r="BA5" i="4"/>
  <c r="BI5" i="4" s="1"/>
  <c r="AV5" i="4"/>
  <c r="AP5" i="4"/>
  <c r="AR5" i="4" s="1"/>
  <c r="AE5" i="4"/>
  <c r="AK5" i="4" s="1"/>
  <c r="Z5" i="4"/>
  <c r="X5" i="4"/>
  <c r="V5" i="4"/>
  <c r="T5" i="4"/>
  <c r="AB5" i="4" s="1"/>
  <c r="O5" i="4"/>
  <c r="M5" i="4"/>
  <c r="I5" i="4"/>
  <c r="CR5" i="4" s="1"/>
  <c r="CQ4" i="4"/>
  <c r="CN4" i="4"/>
  <c r="CH4" i="4"/>
  <c r="CH71" i="4" s="1"/>
  <c r="BW4" i="4"/>
  <c r="BW71" i="4" s="1"/>
  <c r="BR4" i="4"/>
  <c r="BP4" i="4"/>
  <c r="BN4" i="4"/>
  <c r="BL4" i="4"/>
  <c r="BL71" i="4" s="1"/>
  <c r="BG4" i="4"/>
  <c r="BE4" i="4"/>
  <c r="BA4" i="4"/>
  <c r="BA71" i="4" s="1"/>
  <c r="AV4" i="4"/>
  <c r="AP4" i="4"/>
  <c r="AP71" i="4" s="1"/>
  <c r="AE4" i="4"/>
  <c r="AE71" i="4" s="1"/>
  <c r="Z4" i="4"/>
  <c r="X4" i="4"/>
  <c r="V4" i="4"/>
  <c r="T4" i="4"/>
  <c r="T71" i="4" s="1"/>
  <c r="O4" i="4"/>
  <c r="M4" i="4"/>
  <c r="I4" i="4"/>
  <c r="I71" i="4" s="1"/>
  <c r="I31" i="2" l="1"/>
  <c r="O31" i="2" s="1"/>
  <c r="BY66" i="1"/>
  <c r="BC66" i="1"/>
  <c r="AG66" i="1"/>
  <c r="K66" i="1"/>
  <c r="I30" i="2"/>
  <c r="O30" i="2" s="1"/>
  <c r="I29" i="2"/>
  <c r="O29" i="2" s="1"/>
  <c r="CJ66" i="1"/>
  <c r="BN66" i="1"/>
  <c r="AR66" i="1"/>
  <c r="V66" i="1"/>
  <c r="CT66" i="1" s="1"/>
  <c r="I32" i="2"/>
  <c r="O32" i="2" s="1"/>
  <c r="I42" i="2"/>
  <c r="O42" i="2" s="1"/>
  <c r="BY70" i="1"/>
  <c r="BC70" i="1"/>
  <c r="AG70" i="1"/>
  <c r="K70" i="1"/>
  <c r="CJ70" i="1"/>
  <c r="BN70" i="1"/>
  <c r="AR70" i="1"/>
  <c r="V70" i="1"/>
  <c r="N42" i="2"/>
  <c r="W42" i="2"/>
  <c r="CJ57" i="1"/>
  <c r="CR57" i="1" s="1"/>
  <c r="I28" i="2"/>
  <c r="O28" i="2" s="1"/>
  <c r="I26" i="2"/>
  <c r="O26" i="2" s="1"/>
  <c r="I27" i="2"/>
  <c r="O27" i="2" s="1"/>
  <c r="I25" i="2"/>
  <c r="O25" i="2" s="1"/>
  <c r="CJ34" i="1"/>
  <c r="CR34" i="1" s="1"/>
  <c r="I74" i="2"/>
  <c r="O74" i="2" s="1"/>
  <c r="I75" i="2"/>
  <c r="O75" i="2" s="1"/>
  <c r="I76" i="2"/>
  <c r="O76" i="2" s="1"/>
  <c r="I73" i="2"/>
  <c r="O73" i="2" s="1"/>
  <c r="CJ18" i="1"/>
  <c r="CR18" i="1" s="1"/>
  <c r="I70" i="2"/>
  <c r="O70" i="2" s="1"/>
  <c r="I69" i="2"/>
  <c r="O69" i="2" s="1"/>
  <c r="I71" i="2"/>
  <c r="O71" i="2" s="1"/>
  <c r="I72" i="2"/>
  <c r="O72" i="2" s="1"/>
  <c r="BN58" i="1"/>
  <c r="BV58" i="1" s="1"/>
  <c r="V58" i="1"/>
  <c r="AD58" i="1" s="1"/>
  <c r="BY58" i="1"/>
  <c r="CA58" i="1" s="1"/>
  <c r="AG58" i="1"/>
  <c r="AI58" i="1" s="1"/>
  <c r="V19" i="1"/>
  <c r="Z19" i="1" s="1"/>
  <c r="AR19" i="1"/>
  <c r="AZ19" i="1" s="1"/>
  <c r="W40" i="2"/>
  <c r="I44" i="2"/>
  <c r="O44" i="2" s="1"/>
  <c r="BN72" i="1"/>
  <c r="K72" i="1"/>
  <c r="BC72" i="1"/>
  <c r="AG72" i="1"/>
  <c r="BY72" i="1"/>
  <c r="AR72" i="1"/>
  <c r="V72" i="1"/>
  <c r="CJ72" i="1"/>
  <c r="I37" i="2"/>
  <c r="O37" i="2" s="1"/>
  <c r="CJ67" i="1"/>
  <c r="BN67" i="1"/>
  <c r="AR67" i="1"/>
  <c r="V67" i="1"/>
  <c r="BC67" i="1"/>
  <c r="K67" i="1"/>
  <c r="I36" i="2"/>
  <c r="O36" i="2" s="1"/>
  <c r="BY67" i="1"/>
  <c r="I38" i="2"/>
  <c r="O38" i="2" s="1"/>
  <c r="AG67" i="1"/>
  <c r="CS67" i="1"/>
  <c r="W44" i="2"/>
  <c r="BC58" i="1"/>
  <c r="BK58" i="1" s="1"/>
  <c r="I34" i="2"/>
  <c r="O34" i="2" s="1"/>
  <c r="I35" i="2"/>
  <c r="O35" i="2" s="1"/>
  <c r="I33" i="2"/>
  <c r="O33" i="2" s="1"/>
  <c r="BC35" i="1"/>
  <c r="BK35" i="1" s="1"/>
  <c r="I80" i="2"/>
  <c r="O80" i="2" s="1"/>
  <c r="I81" i="2"/>
  <c r="O81" i="2" s="1"/>
  <c r="I82" i="2"/>
  <c r="O82" i="2" s="1"/>
  <c r="BY19" i="1"/>
  <c r="CA19" i="1" s="1"/>
  <c r="I78" i="2"/>
  <c r="O78" i="2" s="1"/>
  <c r="I79" i="2"/>
  <c r="O79" i="2" s="1"/>
  <c r="I77" i="2"/>
  <c r="O77" i="2" s="1"/>
  <c r="K58" i="1"/>
  <c r="S58" i="1" s="1"/>
  <c r="AR57" i="1"/>
  <c r="AZ57" i="1" s="1"/>
  <c r="AR35" i="1"/>
  <c r="AZ35" i="1" s="1"/>
  <c r="K35" i="1"/>
  <c r="S35" i="1" s="1"/>
  <c r="AR34" i="1"/>
  <c r="AZ34" i="1" s="1"/>
  <c r="BC19" i="1"/>
  <c r="BK19" i="1" s="1"/>
  <c r="K19" i="1"/>
  <c r="S19" i="1" s="1"/>
  <c r="BN19" i="1"/>
  <c r="BR19" i="1" s="1"/>
  <c r="BY18" i="1"/>
  <c r="CA18" i="1" s="1"/>
  <c r="AR18" i="1"/>
  <c r="AZ18" i="1" s="1"/>
  <c r="AG19" i="1"/>
  <c r="AI19" i="1" s="1"/>
  <c r="Q75" i="1"/>
  <c r="Q77" i="1"/>
  <c r="Q74" i="1"/>
  <c r="M75" i="1"/>
  <c r="X75" i="1"/>
  <c r="Q76" i="1"/>
  <c r="M77" i="1"/>
  <c r="X77" i="1"/>
  <c r="Q83" i="1"/>
  <c r="BG83" i="1"/>
  <c r="AX74" i="1"/>
  <c r="O75" i="1"/>
  <c r="BI75" i="1"/>
  <c r="AX76" i="1"/>
  <c r="O77" i="1"/>
  <c r="BI77" i="1"/>
  <c r="BI83" i="1"/>
  <c r="AB83" i="1"/>
  <c r="AK83" i="1"/>
  <c r="AT83" i="1"/>
  <c r="BT83" i="1"/>
  <c r="CC83" i="1"/>
  <c r="CL83" i="1"/>
  <c r="AD83" i="1"/>
  <c r="AM83" i="1"/>
  <c r="AV83" i="1"/>
  <c r="BV83" i="1"/>
  <c r="CE83" i="1"/>
  <c r="CN83" i="1"/>
  <c r="AO83" i="1"/>
  <c r="CG83" i="1"/>
  <c r="CP83" i="1"/>
  <c r="Q62" i="1"/>
  <c r="CN77" i="1"/>
  <c r="Z48" i="1"/>
  <c r="AX49" i="1"/>
  <c r="AV74" i="1"/>
  <c r="BG74" i="1"/>
  <c r="AV75" i="1"/>
  <c r="BG75" i="1"/>
  <c r="AV76" i="1"/>
  <c r="BG76" i="1"/>
  <c r="AV77" i="1"/>
  <c r="BG77" i="1"/>
  <c r="CT71" i="1"/>
  <c r="CN74" i="1"/>
  <c r="CN75" i="1"/>
  <c r="CN76" i="1"/>
  <c r="X48" i="1"/>
  <c r="AX48" i="1"/>
  <c r="BI62" i="1"/>
  <c r="BE74" i="1"/>
  <c r="BP74" i="1"/>
  <c r="CP74" i="1"/>
  <c r="BE75" i="1"/>
  <c r="BP75" i="1"/>
  <c r="CP75" i="1"/>
  <c r="BE76" i="1"/>
  <c r="BP76" i="1"/>
  <c r="CP76" i="1"/>
  <c r="BE77" i="1"/>
  <c r="BP77" i="1"/>
  <c r="CP77" i="1"/>
  <c r="AB74" i="1"/>
  <c r="AK74" i="1"/>
  <c r="AT74" i="1"/>
  <c r="BT74" i="1"/>
  <c r="CC74" i="1"/>
  <c r="CL74" i="1"/>
  <c r="AB75" i="1"/>
  <c r="AK75" i="1"/>
  <c r="AT75" i="1"/>
  <c r="BT75" i="1"/>
  <c r="CC75" i="1"/>
  <c r="CL75" i="1"/>
  <c r="AB76" i="1"/>
  <c r="AK76" i="1"/>
  <c r="AT76" i="1"/>
  <c r="BT76" i="1"/>
  <c r="CC76" i="1"/>
  <c r="CL76" i="1"/>
  <c r="AB77" i="1"/>
  <c r="AK77" i="1"/>
  <c r="AT77" i="1"/>
  <c r="BT77" i="1"/>
  <c r="CC77" i="1"/>
  <c r="CL77" i="1"/>
  <c r="AD74" i="1"/>
  <c r="AM74" i="1"/>
  <c r="BV74" i="1"/>
  <c r="CE74" i="1"/>
  <c r="AD75" i="1"/>
  <c r="AM75" i="1"/>
  <c r="BV75" i="1"/>
  <c r="CE75" i="1"/>
  <c r="AD76" i="1"/>
  <c r="AM76" i="1"/>
  <c r="BV76" i="1"/>
  <c r="CE76" i="1"/>
  <c r="AD77" i="1"/>
  <c r="AM77" i="1"/>
  <c r="BV77" i="1"/>
  <c r="CE77" i="1"/>
  <c r="AO74" i="1"/>
  <c r="CG74" i="1"/>
  <c r="AO75" i="1"/>
  <c r="CG75" i="1"/>
  <c r="AO76" i="1"/>
  <c r="CG76" i="1"/>
  <c r="AO77" i="1"/>
  <c r="CG77" i="1"/>
  <c r="Q49" i="1"/>
  <c r="O51" i="1"/>
  <c r="Z53" i="1"/>
  <c r="BE53" i="1"/>
  <c r="M62" i="1"/>
  <c r="BE62" i="1"/>
  <c r="M48" i="1"/>
  <c r="X49" i="1"/>
  <c r="Z51" i="1"/>
  <c r="O53" i="1"/>
  <c r="BP53" i="1"/>
  <c r="Q60" i="1"/>
  <c r="CN60" i="1"/>
  <c r="AX62" i="1"/>
  <c r="Q48" i="1"/>
  <c r="M49" i="1"/>
  <c r="BI49" i="1"/>
  <c r="X62" i="1"/>
  <c r="BP62" i="1"/>
  <c r="O48" i="1"/>
  <c r="M50" i="1"/>
  <c r="X50" i="1"/>
  <c r="AX50" i="1"/>
  <c r="Q51" i="1"/>
  <c r="M52" i="1"/>
  <c r="X52" i="1"/>
  <c r="AX52" i="1"/>
  <c r="Q53" i="1"/>
  <c r="O62" i="1"/>
  <c r="O50" i="1"/>
  <c r="Z50" i="1"/>
  <c r="O52" i="1"/>
  <c r="Z52" i="1"/>
  <c r="CT68" i="1"/>
  <c r="Q44" i="1"/>
  <c r="O49" i="1"/>
  <c r="Z49" i="1"/>
  <c r="Q50" i="1"/>
  <c r="M51" i="1"/>
  <c r="X51" i="1"/>
  <c r="AX51" i="1"/>
  <c r="Q52" i="1"/>
  <c r="M53" i="1"/>
  <c r="X53" i="1"/>
  <c r="AV62" i="1"/>
  <c r="BG62" i="1"/>
  <c r="CT69" i="1"/>
  <c r="CS70" i="1"/>
  <c r="BN65" i="1"/>
  <c r="V65" i="1"/>
  <c r="CS65" i="1"/>
  <c r="BC65" i="1"/>
  <c r="K65" i="1"/>
  <c r="BY65" i="1"/>
  <c r="AG65" i="1"/>
  <c r="AR65" i="1"/>
  <c r="CJ65" i="1"/>
  <c r="CS72" i="1"/>
  <c r="O57" i="1"/>
  <c r="Q58" i="1"/>
  <c r="Z58" i="1"/>
  <c r="Q59" i="1"/>
  <c r="Z57" i="1"/>
  <c r="O58" i="1"/>
  <c r="BE59" i="1"/>
  <c r="CN59" i="1"/>
  <c r="BI60" i="1"/>
  <c r="Q57" i="1"/>
  <c r="AM59" i="1"/>
  <c r="BG59" i="1"/>
  <c r="BE60" i="1"/>
  <c r="BV60" i="1"/>
  <c r="BI59" i="1"/>
  <c r="BG60" i="1"/>
  <c r="M57" i="1"/>
  <c r="X57" i="1"/>
  <c r="AX57" i="1"/>
  <c r="BI57" i="1"/>
  <c r="M58" i="1"/>
  <c r="X58" i="1"/>
  <c r="AX58" i="1"/>
  <c r="BI58" i="1"/>
  <c r="O59" i="1"/>
  <c r="AI59" i="1"/>
  <c r="O60" i="1"/>
  <c r="AM60" i="1"/>
  <c r="BE57" i="1"/>
  <c r="BP57" i="1"/>
  <c r="CP57" i="1"/>
  <c r="BE58" i="1"/>
  <c r="BP58" i="1"/>
  <c r="CA59" i="1"/>
  <c r="AV60" i="1"/>
  <c r="BG57" i="1"/>
  <c r="BR57" i="1"/>
  <c r="BG58" i="1"/>
  <c r="BR58" i="1"/>
  <c r="M59" i="1"/>
  <c r="AV59" i="1"/>
  <c r="CE59" i="1"/>
  <c r="M60" i="1"/>
  <c r="AX60" i="1"/>
  <c r="CE60" i="1"/>
  <c r="AB62" i="1"/>
  <c r="AK62" i="1"/>
  <c r="AT62" i="1"/>
  <c r="BT62" i="1"/>
  <c r="CC62" i="1"/>
  <c r="CL62" i="1"/>
  <c r="AD62" i="1"/>
  <c r="AM62" i="1"/>
  <c r="BV62" i="1"/>
  <c r="CE62" i="1"/>
  <c r="CN62" i="1"/>
  <c r="AO62" i="1"/>
  <c r="CG62" i="1"/>
  <c r="CP62" i="1"/>
  <c r="AD60" i="1"/>
  <c r="AB60" i="1"/>
  <c r="AK60" i="1"/>
  <c r="AT60" i="1"/>
  <c r="BT60" i="1"/>
  <c r="CC60" i="1"/>
  <c r="CL60" i="1"/>
  <c r="X60" i="1"/>
  <c r="AO60" i="1"/>
  <c r="BP60" i="1"/>
  <c r="CG60" i="1"/>
  <c r="CP60" i="1"/>
  <c r="AB59" i="1"/>
  <c r="AK59" i="1"/>
  <c r="AT59" i="1"/>
  <c r="BT59" i="1"/>
  <c r="CC59" i="1"/>
  <c r="CL59" i="1"/>
  <c r="AD59" i="1"/>
  <c r="BV59" i="1"/>
  <c r="X59" i="1"/>
  <c r="AX59" i="1"/>
  <c r="BP59" i="1"/>
  <c r="CP59" i="1"/>
  <c r="AB57" i="1"/>
  <c r="AK57" i="1"/>
  <c r="AT57" i="1"/>
  <c r="BT57" i="1"/>
  <c r="CC57" i="1"/>
  <c r="CL57" i="1"/>
  <c r="AB58" i="1"/>
  <c r="AK58" i="1"/>
  <c r="AT58" i="1"/>
  <c r="BT58" i="1"/>
  <c r="CL58" i="1"/>
  <c r="AM57" i="1"/>
  <c r="CE57" i="1"/>
  <c r="CN57" i="1"/>
  <c r="AM58" i="1"/>
  <c r="AV58" i="1"/>
  <c r="CN58" i="1"/>
  <c r="AO57" i="1"/>
  <c r="CG57" i="1"/>
  <c r="AO58" i="1"/>
  <c r="CP58" i="1"/>
  <c r="BG20" i="1"/>
  <c r="BI44" i="1"/>
  <c r="Q46" i="1"/>
  <c r="BI46" i="1"/>
  <c r="BG48" i="1"/>
  <c r="BR48" i="1"/>
  <c r="BG49" i="1"/>
  <c r="BR49" i="1"/>
  <c r="BG50" i="1"/>
  <c r="BR50" i="1"/>
  <c r="BG51" i="1"/>
  <c r="BR51" i="1"/>
  <c r="BG52" i="1"/>
  <c r="BR52" i="1"/>
  <c r="BI53" i="1"/>
  <c r="O54" i="1"/>
  <c r="Z54" i="1"/>
  <c r="BE54" i="1"/>
  <c r="BP54" i="1"/>
  <c r="BI48" i="1"/>
  <c r="BI50" i="1"/>
  <c r="BI51" i="1"/>
  <c r="BI52" i="1"/>
  <c r="Q54" i="1"/>
  <c r="BG54" i="1"/>
  <c r="BR54" i="1"/>
  <c r="BE44" i="1"/>
  <c r="BP44" i="1"/>
  <c r="M46" i="1"/>
  <c r="X46" i="1"/>
  <c r="AX46" i="1"/>
  <c r="BI54" i="1"/>
  <c r="BG44" i="1"/>
  <c r="O46" i="1"/>
  <c r="Z46" i="1"/>
  <c r="BE48" i="1"/>
  <c r="BP48" i="1"/>
  <c r="CP48" i="1"/>
  <c r="BE49" i="1"/>
  <c r="BP49" i="1"/>
  <c r="CP49" i="1"/>
  <c r="BE50" i="1"/>
  <c r="BP50" i="1"/>
  <c r="CP50" i="1"/>
  <c r="BE51" i="1"/>
  <c r="BP51" i="1"/>
  <c r="CP51" i="1"/>
  <c r="BE52" i="1"/>
  <c r="BP52" i="1"/>
  <c r="CP52" i="1"/>
  <c r="BG53" i="1"/>
  <c r="BR53" i="1"/>
  <c r="M54" i="1"/>
  <c r="X54" i="1"/>
  <c r="AB48" i="1"/>
  <c r="AK48" i="1"/>
  <c r="AT48" i="1"/>
  <c r="BT48" i="1"/>
  <c r="CC48" i="1"/>
  <c r="CL48" i="1"/>
  <c r="AB49" i="1"/>
  <c r="AK49" i="1"/>
  <c r="AT49" i="1"/>
  <c r="BT49" i="1"/>
  <c r="CC49" i="1"/>
  <c r="CL49" i="1"/>
  <c r="AB50" i="1"/>
  <c r="AK50" i="1"/>
  <c r="AT50" i="1"/>
  <c r="BT50" i="1"/>
  <c r="CC50" i="1"/>
  <c r="CL50" i="1"/>
  <c r="AB51" i="1"/>
  <c r="AK51" i="1"/>
  <c r="AT51" i="1"/>
  <c r="BT51" i="1"/>
  <c r="CC51" i="1"/>
  <c r="CL51" i="1"/>
  <c r="AB52" i="1"/>
  <c r="AK52" i="1"/>
  <c r="AT52" i="1"/>
  <c r="BT52" i="1"/>
  <c r="CC52" i="1"/>
  <c r="CL52" i="1"/>
  <c r="AB53" i="1"/>
  <c r="AK53" i="1"/>
  <c r="AT53" i="1"/>
  <c r="BT53" i="1"/>
  <c r="CC53" i="1"/>
  <c r="CL53" i="1"/>
  <c r="AB54" i="1"/>
  <c r="AK54" i="1"/>
  <c r="AT54" i="1"/>
  <c r="BT54" i="1"/>
  <c r="CC54" i="1"/>
  <c r="CL54" i="1"/>
  <c r="AM48" i="1"/>
  <c r="AV48" i="1"/>
  <c r="CE48" i="1"/>
  <c r="CN48" i="1"/>
  <c r="AM49" i="1"/>
  <c r="AV49" i="1"/>
  <c r="CE49" i="1"/>
  <c r="CN49" i="1"/>
  <c r="AM50" i="1"/>
  <c r="AV50" i="1"/>
  <c r="CE50" i="1"/>
  <c r="CN50" i="1"/>
  <c r="AM51" i="1"/>
  <c r="AV51" i="1"/>
  <c r="CE51" i="1"/>
  <c r="CN51" i="1"/>
  <c r="AM52" i="1"/>
  <c r="AV52" i="1"/>
  <c r="CE52" i="1"/>
  <c r="CN52" i="1"/>
  <c r="AM53" i="1"/>
  <c r="AV53" i="1"/>
  <c r="CE53" i="1"/>
  <c r="CN53" i="1"/>
  <c r="AM54" i="1"/>
  <c r="AV54" i="1"/>
  <c r="CE54" i="1"/>
  <c r="CN54" i="1"/>
  <c r="AO48" i="1"/>
  <c r="CG48" i="1"/>
  <c r="AO49" i="1"/>
  <c r="CG49" i="1"/>
  <c r="AO50" i="1"/>
  <c r="CG50" i="1"/>
  <c r="AO51" i="1"/>
  <c r="CG51" i="1"/>
  <c r="AO52" i="1"/>
  <c r="CG52" i="1"/>
  <c r="AO53" i="1"/>
  <c r="AX53" i="1"/>
  <c r="CG53" i="1"/>
  <c r="CP53" i="1"/>
  <c r="AO54" i="1"/>
  <c r="AX54" i="1"/>
  <c r="CG54" i="1"/>
  <c r="CP54" i="1"/>
  <c r="BI39" i="1"/>
  <c r="AX41" i="1"/>
  <c r="BI42" i="1"/>
  <c r="Q27" i="1"/>
  <c r="BI41" i="1"/>
  <c r="Q14" i="1"/>
  <c r="BI27" i="1"/>
  <c r="Q42" i="1"/>
  <c r="O11" i="1"/>
  <c r="BI18" i="1"/>
  <c r="BI34" i="1"/>
  <c r="CE34" i="1"/>
  <c r="BI35" i="1"/>
  <c r="CE35" i="1"/>
  <c r="BI36" i="1"/>
  <c r="CE36" i="1"/>
  <c r="BI37" i="1"/>
  <c r="CE37" i="1"/>
  <c r="BI38" i="1"/>
  <c r="CE38" i="1"/>
  <c r="Q41" i="1"/>
  <c r="BG41" i="1"/>
  <c r="O42" i="1"/>
  <c r="BG42" i="1"/>
  <c r="O44" i="1"/>
  <c r="BG46" i="1"/>
  <c r="BR46" i="1"/>
  <c r="BG23" i="1"/>
  <c r="O31" i="1"/>
  <c r="M41" i="1"/>
  <c r="X41" i="1"/>
  <c r="AV44" i="1"/>
  <c r="M5" i="1"/>
  <c r="BG18" i="1"/>
  <c r="BI23" i="1"/>
  <c r="BG34" i="1"/>
  <c r="CA34" i="1"/>
  <c r="BG35" i="1"/>
  <c r="CA35" i="1"/>
  <c r="BG36" i="1"/>
  <c r="CA36" i="1"/>
  <c r="BG37" i="1"/>
  <c r="CA37" i="1"/>
  <c r="BG38" i="1"/>
  <c r="CA38" i="1"/>
  <c r="M39" i="1"/>
  <c r="CE39" i="1"/>
  <c r="O41" i="1"/>
  <c r="BE41" i="1"/>
  <c r="BP41" i="1"/>
  <c r="M42" i="1"/>
  <c r="X42" i="1"/>
  <c r="BE42" i="1"/>
  <c r="BP42" i="1"/>
  <c r="M44" i="1"/>
  <c r="X44" i="1"/>
  <c r="AX44" i="1"/>
  <c r="BE46" i="1"/>
  <c r="BP46" i="1"/>
  <c r="CP46" i="1"/>
  <c r="AB46" i="1"/>
  <c r="AK46" i="1"/>
  <c r="AT46" i="1"/>
  <c r="BT46" i="1"/>
  <c r="CC46" i="1"/>
  <c r="CL46" i="1"/>
  <c r="AM46" i="1"/>
  <c r="AV46" i="1"/>
  <c r="CE46" i="1"/>
  <c r="CN46" i="1"/>
  <c r="AO46" i="1"/>
  <c r="CG46" i="1"/>
  <c r="AB44" i="1"/>
  <c r="AK44" i="1"/>
  <c r="AT44" i="1"/>
  <c r="BT44" i="1"/>
  <c r="CC44" i="1"/>
  <c r="CL44" i="1"/>
  <c r="AD44" i="1"/>
  <c r="AM44" i="1"/>
  <c r="BV44" i="1"/>
  <c r="CE44" i="1"/>
  <c r="CN44" i="1"/>
  <c r="AO44" i="1"/>
  <c r="CG44" i="1"/>
  <c r="CP44" i="1"/>
  <c r="AB41" i="1"/>
  <c r="AK41" i="1"/>
  <c r="AT41" i="1"/>
  <c r="BT41" i="1"/>
  <c r="CC41" i="1"/>
  <c r="CL41" i="1"/>
  <c r="AB42" i="1"/>
  <c r="AK42" i="1"/>
  <c r="AT42" i="1"/>
  <c r="BT42" i="1"/>
  <c r="CC42" i="1"/>
  <c r="CL42" i="1"/>
  <c r="AD41" i="1"/>
  <c r="AM41" i="1"/>
  <c r="AV41" i="1"/>
  <c r="BV41" i="1"/>
  <c r="CE41" i="1"/>
  <c r="CN41" i="1"/>
  <c r="AD42" i="1"/>
  <c r="AM42" i="1"/>
  <c r="AV42" i="1"/>
  <c r="BV42" i="1"/>
  <c r="CE42" i="1"/>
  <c r="CN42" i="1"/>
  <c r="AO41" i="1"/>
  <c r="CG41" i="1"/>
  <c r="CP41" i="1"/>
  <c r="AO42" i="1"/>
  <c r="AX42" i="1"/>
  <c r="CG42" i="1"/>
  <c r="CP42" i="1"/>
  <c r="O6" i="1"/>
  <c r="AX6" i="1"/>
  <c r="Q11" i="1"/>
  <c r="BI20" i="1"/>
  <c r="BI26" i="1"/>
  <c r="O29" i="1"/>
  <c r="Q31" i="1"/>
  <c r="BG40" i="1"/>
  <c r="CA40" i="1"/>
  <c r="Q29" i="1"/>
  <c r="BI40" i="1"/>
  <c r="CE40" i="1"/>
  <c r="Q7" i="1"/>
  <c r="Z11" i="1"/>
  <c r="Q13" i="1"/>
  <c r="AV25" i="1"/>
  <c r="BG27" i="1"/>
  <c r="BI29" i="1"/>
  <c r="BG39" i="1"/>
  <c r="CA39" i="1"/>
  <c r="M40" i="1"/>
  <c r="AV40" i="1"/>
  <c r="O7" i="1"/>
  <c r="M11" i="1"/>
  <c r="X11" i="1"/>
  <c r="AX11" i="1"/>
  <c r="O13" i="1"/>
  <c r="Z13" i="1"/>
  <c r="Q15" i="1"/>
  <c r="AV22" i="1"/>
  <c r="BE23" i="1"/>
  <c r="BP23" i="1"/>
  <c r="M24" i="1"/>
  <c r="AV24" i="1"/>
  <c r="BI24" i="1"/>
  <c r="Q25" i="1"/>
  <c r="Q26" i="1"/>
  <c r="AM26" i="1"/>
  <c r="BG26" i="1"/>
  <c r="CA26" i="1"/>
  <c r="O27" i="1"/>
  <c r="BE27" i="1"/>
  <c r="BP27" i="1"/>
  <c r="M29" i="1"/>
  <c r="BG29" i="1"/>
  <c r="BR29" i="1"/>
  <c r="M31" i="1"/>
  <c r="X31" i="1"/>
  <c r="AX31" i="1"/>
  <c r="BI31" i="1"/>
  <c r="Q34" i="1"/>
  <c r="AM34" i="1"/>
  <c r="BE34" i="1"/>
  <c r="CN34" i="1"/>
  <c r="AM35" i="1"/>
  <c r="BE35" i="1"/>
  <c r="CN35" i="1"/>
  <c r="Q36" i="1"/>
  <c r="AM36" i="1"/>
  <c r="BE36" i="1"/>
  <c r="CN36" i="1"/>
  <c r="Q37" i="1"/>
  <c r="AM37" i="1"/>
  <c r="BE37" i="1"/>
  <c r="CN37" i="1"/>
  <c r="Q38" i="1"/>
  <c r="AM38" i="1"/>
  <c r="BE38" i="1"/>
  <c r="CN38" i="1"/>
  <c r="Q39" i="1"/>
  <c r="AM39" i="1"/>
  <c r="BE39" i="1"/>
  <c r="CN39" i="1"/>
  <c r="Q40" i="1"/>
  <c r="AM40" i="1"/>
  <c r="BE40" i="1"/>
  <c r="AX5" i="1"/>
  <c r="AX10" i="1"/>
  <c r="Q12" i="1"/>
  <c r="M15" i="1"/>
  <c r="X15" i="1"/>
  <c r="AX15" i="1"/>
  <c r="BG22" i="1"/>
  <c r="BE24" i="1"/>
  <c r="BP24" i="1"/>
  <c r="M25" i="1"/>
  <c r="AX27" i="1"/>
  <c r="BE31" i="1"/>
  <c r="BP31" i="1"/>
  <c r="M34" i="1"/>
  <c r="AV34" i="1"/>
  <c r="AV35" i="1"/>
  <c r="M36" i="1"/>
  <c r="AV36" i="1"/>
  <c r="M37" i="1"/>
  <c r="AV37" i="1"/>
  <c r="M38" i="1"/>
  <c r="AV38" i="1"/>
  <c r="AV39" i="1"/>
  <c r="X5" i="1"/>
  <c r="CN5" i="1"/>
  <c r="M7" i="1"/>
  <c r="X7" i="1"/>
  <c r="M13" i="1"/>
  <c r="X13" i="1"/>
  <c r="AX13" i="1"/>
  <c r="O15" i="1"/>
  <c r="Z15" i="1"/>
  <c r="CP19" i="1"/>
  <c r="BE21" i="1"/>
  <c r="CP21" i="1"/>
  <c r="BI22" i="1"/>
  <c r="BG24" i="1"/>
  <c r="O25" i="1"/>
  <c r="AI25" i="1"/>
  <c r="O26" i="1"/>
  <c r="AI26" i="1"/>
  <c r="BE26" i="1"/>
  <c r="M27" i="1"/>
  <c r="X27" i="1"/>
  <c r="BE29" i="1"/>
  <c r="BP29" i="1"/>
  <c r="AV31" i="1"/>
  <c r="BG31" i="1"/>
  <c r="O34" i="1"/>
  <c r="AI34" i="1"/>
  <c r="AI35" i="1"/>
  <c r="O36" i="1"/>
  <c r="AI36" i="1"/>
  <c r="O37" i="1"/>
  <c r="AI37" i="1"/>
  <c r="O38" i="1"/>
  <c r="AI38" i="1"/>
  <c r="O39" i="1"/>
  <c r="AI39" i="1"/>
  <c r="O40" i="1"/>
  <c r="AI40" i="1"/>
  <c r="AB34" i="1"/>
  <c r="AK34" i="1"/>
  <c r="AT34" i="1"/>
  <c r="BT34" i="1"/>
  <c r="CC34" i="1"/>
  <c r="CL34" i="1"/>
  <c r="AB35" i="1"/>
  <c r="AK35" i="1"/>
  <c r="AT35" i="1"/>
  <c r="BT35" i="1"/>
  <c r="CC35" i="1"/>
  <c r="CL35" i="1"/>
  <c r="AB36" i="1"/>
  <c r="AK36" i="1"/>
  <c r="AT36" i="1"/>
  <c r="BT36" i="1"/>
  <c r="CC36" i="1"/>
  <c r="CL36" i="1"/>
  <c r="AB37" i="1"/>
  <c r="AK37" i="1"/>
  <c r="AT37" i="1"/>
  <c r="BT37" i="1"/>
  <c r="CC37" i="1"/>
  <c r="CL37" i="1"/>
  <c r="AB38" i="1"/>
  <c r="AK38" i="1"/>
  <c r="AT38" i="1"/>
  <c r="BT38" i="1"/>
  <c r="CC38" i="1"/>
  <c r="CL38" i="1"/>
  <c r="AB39" i="1"/>
  <c r="AK39" i="1"/>
  <c r="AT39" i="1"/>
  <c r="BT39" i="1"/>
  <c r="CC39" i="1"/>
  <c r="CL39" i="1"/>
  <c r="AB40" i="1"/>
  <c r="AK40" i="1"/>
  <c r="AT40" i="1"/>
  <c r="BT40" i="1"/>
  <c r="CC40" i="1"/>
  <c r="CL40" i="1"/>
  <c r="AD34" i="1"/>
  <c r="BV34" i="1"/>
  <c r="AD35" i="1"/>
  <c r="BV35" i="1"/>
  <c r="AD36" i="1"/>
  <c r="BV36" i="1"/>
  <c r="AD37" i="1"/>
  <c r="BV37" i="1"/>
  <c r="AD38" i="1"/>
  <c r="BV38" i="1"/>
  <c r="AD39" i="1"/>
  <c r="BV39" i="1"/>
  <c r="AD40" i="1"/>
  <c r="BV40" i="1"/>
  <c r="CN40" i="1"/>
  <c r="X34" i="1"/>
  <c r="AX34" i="1"/>
  <c r="BP34" i="1"/>
  <c r="CP34" i="1"/>
  <c r="X35" i="1"/>
  <c r="AX35" i="1"/>
  <c r="BP35" i="1"/>
  <c r="CP35" i="1"/>
  <c r="X36" i="1"/>
  <c r="AX36" i="1"/>
  <c r="BP36" i="1"/>
  <c r="CP36" i="1"/>
  <c r="X37" i="1"/>
  <c r="AX37" i="1"/>
  <c r="BP37" i="1"/>
  <c r="CP37" i="1"/>
  <c r="X38" i="1"/>
  <c r="AX38" i="1"/>
  <c r="BP38" i="1"/>
  <c r="CP38" i="1"/>
  <c r="X39" i="1"/>
  <c r="AX39" i="1"/>
  <c r="BP39" i="1"/>
  <c r="CP39" i="1"/>
  <c r="X40" i="1"/>
  <c r="AX40" i="1"/>
  <c r="BP40" i="1"/>
  <c r="CP40" i="1"/>
  <c r="AB31" i="1"/>
  <c r="AK31" i="1"/>
  <c r="AT31" i="1"/>
  <c r="BT31" i="1"/>
  <c r="CC31" i="1"/>
  <c r="CL31" i="1"/>
  <c r="AD31" i="1"/>
  <c r="AM31" i="1"/>
  <c r="BV31" i="1"/>
  <c r="CE31" i="1"/>
  <c r="CN31" i="1"/>
  <c r="AO31" i="1"/>
  <c r="CG31" i="1"/>
  <c r="CP31" i="1"/>
  <c r="AB29" i="1"/>
  <c r="AK29" i="1"/>
  <c r="AT29" i="1"/>
  <c r="BT29" i="1"/>
  <c r="CC29" i="1"/>
  <c r="CL29" i="1"/>
  <c r="AD29" i="1"/>
  <c r="AM29" i="1"/>
  <c r="AV29" i="1"/>
  <c r="CE29" i="1"/>
  <c r="CN29" i="1"/>
  <c r="X29" i="1"/>
  <c r="AO29" i="1"/>
  <c r="AX29" i="1"/>
  <c r="CG29" i="1"/>
  <c r="CP29" i="1"/>
  <c r="AB27" i="1"/>
  <c r="AK27" i="1"/>
  <c r="AT27" i="1"/>
  <c r="BT27" i="1"/>
  <c r="CC27" i="1"/>
  <c r="CL27" i="1"/>
  <c r="AD27" i="1"/>
  <c r="AM27" i="1"/>
  <c r="AV27" i="1"/>
  <c r="BV27" i="1"/>
  <c r="CE27" i="1"/>
  <c r="CN27" i="1"/>
  <c r="AO27" i="1"/>
  <c r="CG27" i="1"/>
  <c r="CP27" i="1"/>
  <c r="AV5" i="1"/>
  <c r="M6" i="1"/>
  <c r="AX7" i="1"/>
  <c r="BI10" i="1"/>
  <c r="O12" i="1"/>
  <c r="Z12" i="1"/>
  <c r="O14" i="1"/>
  <c r="Z14" i="1"/>
  <c r="V17" i="1"/>
  <c r="Z17" i="1" s="1"/>
  <c r="BE18" i="1"/>
  <c r="BP18" i="1"/>
  <c r="AV19" i="1"/>
  <c r="BE20" i="1"/>
  <c r="BP20" i="1"/>
  <c r="AV21" i="1"/>
  <c r="BI21" i="1"/>
  <c r="BE22" i="1"/>
  <c r="BP22" i="1"/>
  <c r="CP23" i="1"/>
  <c r="BG25" i="1"/>
  <c r="CA25" i="1"/>
  <c r="M26" i="1"/>
  <c r="BI25" i="1"/>
  <c r="CE25" i="1"/>
  <c r="CJ17" i="1"/>
  <c r="CP17" i="1" s="1"/>
  <c r="AV20" i="1"/>
  <c r="BP21" i="1"/>
  <c r="O5" i="1"/>
  <c r="X6" i="1"/>
  <c r="CN6" i="1"/>
  <c r="BG10" i="1"/>
  <c r="M12" i="1"/>
  <c r="X12" i="1"/>
  <c r="AX12" i="1"/>
  <c r="M14" i="1"/>
  <c r="X14" i="1"/>
  <c r="AX14" i="1"/>
  <c r="BN17" i="1"/>
  <c r="BR17" i="1" s="1"/>
  <c r="CP18" i="1"/>
  <c r="CP20" i="1"/>
  <c r="BG21" i="1"/>
  <c r="CP22" i="1"/>
  <c r="AX24" i="1"/>
  <c r="AM25" i="1"/>
  <c r="BE25" i="1"/>
  <c r="AB25" i="1"/>
  <c r="AK25" i="1"/>
  <c r="AT25" i="1"/>
  <c r="BT25" i="1"/>
  <c r="CC25" i="1"/>
  <c r="CL25" i="1"/>
  <c r="AB26" i="1"/>
  <c r="AK26" i="1"/>
  <c r="AT26" i="1"/>
  <c r="BT26" i="1"/>
  <c r="CC26" i="1"/>
  <c r="CL26" i="1"/>
  <c r="AD25" i="1"/>
  <c r="BV25" i="1"/>
  <c r="CN25" i="1"/>
  <c r="AD26" i="1"/>
  <c r="AV26" i="1"/>
  <c r="BV26" i="1"/>
  <c r="CE26" i="1"/>
  <c r="CN26" i="1"/>
  <c r="X25" i="1"/>
  <c r="AX25" i="1"/>
  <c r="BP25" i="1"/>
  <c r="CP25" i="1"/>
  <c r="X26" i="1"/>
  <c r="AX26" i="1"/>
  <c r="BP26" i="1"/>
  <c r="CP26" i="1"/>
  <c r="BG5" i="1"/>
  <c r="AV6" i="1"/>
  <c r="BG6" i="1"/>
  <c r="AV7" i="1"/>
  <c r="BG7" i="1"/>
  <c r="O10" i="1"/>
  <c r="BE10" i="1"/>
  <c r="BP10" i="1"/>
  <c r="BG11" i="1"/>
  <c r="BR11" i="1"/>
  <c r="BG12" i="1"/>
  <c r="BR12" i="1"/>
  <c r="BG13" i="1"/>
  <c r="BR13" i="1"/>
  <c r="BG14" i="1"/>
  <c r="BR14" i="1"/>
  <c r="BG15" i="1"/>
  <c r="BR15" i="1"/>
  <c r="K17" i="1"/>
  <c r="O17" i="1" s="1"/>
  <c r="O18" i="1"/>
  <c r="CN18" i="1"/>
  <c r="O19" i="1"/>
  <c r="CN19" i="1"/>
  <c r="O20" i="1"/>
  <c r="CN20" i="1"/>
  <c r="O21" i="1"/>
  <c r="CN21" i="1"/>
  <c r="O22" i="1"/>
  <c r="CN22" i="1"/>
  <c r="O23" i="1"/>
  <c r="CN23" i="1"/>
  <c r="O24" i="1"/>
  <c r="BI5" i="1"/>
  <c r="BI6" i="1"/>
  <c r="BI7" i="1"/>
  <c r="Q10" i="1"/>
  <c r="BI11" i="1"/>
  <c r="BI12" i="1"/>
  <c r="BI13" i="1"/>
  <c r="BI14" i="1"/>
  <c r="BI15" i="1"/>
  <c r="Q18" i="1"/>
  <c r="Q20" i="1"/>
  <c r="Q21" i="1"/>
  <c r="Q22" i="1"/>
  <c r="Q23" i="1"/>
  <c r="Q24" i="1"/>
  <c r="AV23" i="1"/>
  <c r="Q5" i="1"/>
  <c r="BE5" i="1"/>
  <c r="BP5" i="1"/>
  <c r="CP5" i="1"/>
  <c r="Q6" i="1"/>
  <c r="BE6" i="1"/>
  <c r="BP6" i="1"/>
  <c r="CP6" i="1"/>
  <c r="BE7" i="1"/>
  <c r="BP7" i="1"/>
  <c r="M10" i="1"/>
  <c r="X10" i="1"/>
  <c r="CP10" i="1"/>
  <c r="BE11" i="1"/>
  <c r="BP11" i="1"/>
  <c r="CP11" i="1"/>
  <c r="BE12" i="1"/>
  <c r="BP12" i="1"/>
  <c r="CP12" i="1"/>
  <c r="BE13" i="1"/>
  <c r="BP13" i="1"/>
  <c r="CP13" i="1"/>
  <c r="BE14" i="1"/>
  <c r="BP14" i="1"/>
  <c r="CP14" i="1"/>
  <c r="BE15" i="1"/>
  <c r="BP15" i="1"/>
  <c r="BC17" i="1"/>
  <c r="BE17" i="1" s="1"/>
  <c r="AR17" i="1"/>
  <c r="M18" i="1"/>
  <c r="X18" i="1"/>
  <c r="AX18" i="1"/>
  <c r="X19" i="1"/>
  <c r="AX19" i="1"/>
  <c r="M20" i="1"/>
  <c r="X20" i="1"/>
  <c r="AX20" i="1"/>
  <c r="M21" i="1"/>
  <c r="X21" i="1"/>
  <c r="AX21" i="1"/>
  <c r="M22" i="1"/>
  <c r="X22" i="1"/>
  <c r="AX22" i="1"/>
  <c r="M23" i="1"/>
  <c r="X23" i="1"/>
  <c r="AX23" i="1"/>
  <c r="X24" i="1"/>
  <c r="AB18" i="1"/>
  <c r="AK18" i="1"/>
  <c r="AT18" i="1"/>
  <c r="BT18" i="1"/>
  <c r="CL18" i="1"/>
  <c r="AB19" i="1"/>
  <c r="AT19" i="1"/>
  <c r="BT19" i="1"/>
  <c r="CC19" i="1"/>
  <c r="CL19" i="1"/>
  <c r="AB20" i="1"/>
  <c r="AK20" i="1"/>
  <c r="AT20" i="1"/>
  <c r="BT20" i="1"/>
  <c r="CC20" i="1"/>
  <c r="CL20" i="1"/>
  <c r="AB21" i="1"/>
  <c r="AK21" i="1"/>
  <c r="AT21" i="1"/>
  <c r="BT21" i="1"/>
  <c r="CC21" i="1"/>
  <c r="CL21" i="1"/>
  <c r="AB22" i="1"/>
  <c r="AK22" i="1"/>
  <c r="AT22" i="1"/>
  <c r="BT22" i="1"/>
  <c r="CC22" i="1"/>
  <c r="CL22" i="1"/>
  <c r="AB23" i="1"/>
  <c r="AK23" i="1"/>
  <c r="AT23" i="1"/>
  <c r="BT23" i="1"/>
  <c r="CC23" i="1"/>
  <c r="CL23" i="1"/>
  <c r="AB24" i="1"/>
  <c r="AK24" i="1"/>
  <c r="AT24" i="1"/>
  <c r="BT24" i="1"/>
  <c r="CC24" i="1"/>
  <c r="CL24" i="1"/>
  <c r="AD18" i="1"/>
  <c r="AM18" i="1"/>
  <c r="BV18" i="1"/>
  <c r="CE18" i="1"/>
  <c r="AD19" i="1"/>
  <c r="CE19" i="1"/>
  <c r="AD20" i="1"/>
  <c r="AM20" i="1"/>
  <c r="BV20" i="1"/>
  <c r="CE20" i="1"/>
  <c r="AD21" i="1"/>
  <c r="AM21" i="1"/>
  <c r="BV21" i="1"/>
  <c r="CE21" i="1"/>
  <c r="AD22" i="1"/>
  <c r="AM22" i="1"/>
  <c r="BV22" i="1"/>
  <c r="CE22" i="1"/>
  <c r="AD23" i="1"/>
  <c r="AM23" i="1"/>
  <c r="BV23" i="1"/>
  <c r="CE23" i="1"/>
  <c r="AD24" i="1"/>
  <c r="AM24" i="1"/>
  <c r="BV24" i="1"/>
  <c r="CE24" i="1"/>
  <c r="CN24" i="1"/>
  <c r="AO18" i="1"/>
  <c r="CG18" i="1"/>
  <c r="AO19" i="1"/>
  <c r="CG19" i="1"/>
  <c r="AO20" i="1"/>
  <c r="CG20" i="1"/>
  <c r="AO21" i="1"/>
  <c r="CG21" i="1"/>
  <c r="AO22" i="1"/>
  <c r="CG22" i="1"/>
  <c r="AO23" i="1"/>
  <c r="CG23" i="1"/>
  <c r="AO24" i="1"/>
  <c r="CG24" i="1"/>
  <c r="CP24" i="1"/>
  <c r="AI17" i="1"/>
  <c r="AK17" i="1"/>
  <c r="AM17" i="1"/>
  <c r="AO17" i="1"/>
  <c r="BY17" i="1"/>
  <c r="BG17" i="1"/>
  <c r="AB10" i="1"/>
  <c r="AK10" i="1"/>
  <c r="AT10" i="1"/>
  <c r="BT10" i="1"/>
  <c r="CC10" i="1"/>
  <c r="CL10" i="1"/>
  <c r="AB11" i="1"/>
  <c r="AK11" i="1"/>
  <c r="AT11" i="1"/>
  <c r="BT11" i="1"/>
  <c r="CC11" i="1"/>
  <c r="CL11" i="1"/>
  <c r="AB12" i="1"/>
  <c r="AK12" i="1"/>
  <c r="AT12" i="1"/>
  <c r="BT12" i="1"/>
  <c r="CC12" i="1"/>
  <c r="CL12" i="1"/>
  <c r="AB13" i="1"/>
  <c r="AK13" i="1"/>
  <c r="AT13" i="1"/>
  <c r="BT13" i="1"/>
  <c r="CC13" i="1"/>
  <c r="CL13" i="1"/>
  <c r="AB14" i="1"/>
  <c r="AK14" i="1"/>
  <c r="AT14" i="1"/>
  <c r="BT14" i="1"/>
  <c r="CC14" i="1"/>
  <c r="CL14" i="1"/>
  <c r="AB15" i="1"/>
  <c r="AK15" i="1"/>
  <c r="AT15" i="1"/>
  <c r="BT15" i="1"/>
  <c r="CC15" i="1"/>
  <c r="CL15" i="1"/>
  <c r="AD10" i="1"/>
  <c r="AM10" i="1"/>
  <c r="AV10" i="1"/>
  <c r="BV10" i="1"/>
  <c r="CE10" i="1"/>
  <c r="CN10" i="1"/>
  <c r="AM11" i="1"/>
  <c r="AV11" i="1"/>
  <c r="CE11" i="1"/>
  <c r="CN11" i="1"/>
  <c r="AM12" i="1"/>
  <c r="AV12" i="1"/>
  <c r="CE12" i="1"/>
  <c r="CN12" i="1"/>
  <c r="AM13" i="1"/>
  <c r="AV13" i="1"/>
  <c r="CE13" i="1"/>
  <c r="CN13" i="1"/>
  <c r="AM14" i="1"/>
  <c r="AV14" i="1"/>
  <c r="CE14" i="1"/>
  <c r="CN14" i="1"/>
  <c r="AM15" i="1"/>
  <c r="AV15" i="1"/>
  <c r="CE15" i="1"/>
  <c r="CN15" i="1"/>
  <c r="AO10" i="1"/>
  <c r="CG10" i="1"/>
  <c r="AO11" i="1"/>
  <c r="CG11" i="1"/>
  <c r="AO12" i="1"/>
  <c r="CG12" i="1"/>
  <c r="AO13" i="1"/>
  <c r="CG13" i="1"/>
  <c r="AO14" i="1"/>
  <c r="CG14" i="1"/>
  <c r="AO15" i="1"/>
  <c r="CG15" i="1"/>
  <c r="CP15" i="1"/>
  <c r="AB5" i="1"/>
  <c r="AK5" i="1"/>
  <c r="AT5" i="1"/>
  <c r="BT5" i="1"/>
  <c r="CC5" i="1"/>
  <c r="CL5" i="1"/>
  <c r="AB6" i="1"/>
  <c r="AK6" i="1"/>
  <c r="AT6" i="1"/>
  <c r="BT6" i="1"/>
  <c r="CC6" i="1"/>
  <c r="CL6" i="1"/>
  <c r="AB7" i="1"/>
  <c r="AK7" i="1"/>
  <c r="AT7" i="1"/>
  <c r="BT7" i="1"/>
  <c r="CC7" i="1"/>
  <c r="CL7" i="1"/>
  <c r="AD5" i="1"/>
  <c r="AM5" i="1"/>
  <c r="BV5" i="1"/>
  <c r="CE5" i="1"/>
  <c r="AD6" i="1"/>
  <c r="AM6" i="1"/>
  <c r="BV6" i="1"/>
  <c r="CE6" i="1"/>
  <c r="AD7" i="1"/>
  <c r="AM7" i="1"/>
  <c r="BV7" i="1"/>
  <c r="CE7" i="1"/>
  <c r="CN7" i="1"/>
  <c r="AO5" i="1"/>
  <c r="CG5" i="1"/>
  <c r="AO6" i="1"/>
  <c r="CG6" i="1"/>
  <c r="AO7" i="1"/>
  <c r="CG7" i="1"/>
  <c r="CP7" i="1"/>
  <c r="CS13" i="4"/>
  <c r="CT13" i="4" s="1"/>
  <c r="CT14" i="4"/>
  <c r="CT16" i="4"/>
  <c r="CT18" i="4"/>
  <c r="CT20" i="4"/>
  <c r="AM4" i="4"/>
  <c r="AM5" i="4"/>
  <c r="CE6" i="4"/>
  <c r="AG4" i="4"/>
  <c r="AG5" i="4"/>
  <c r="AX5" i="4"/>
  <c r="BY5" i="4"/>
  <c r="AX6" i="4"/>
  <c r="BY6" i="4"/>
  <c r="AG7" i="4"/>
  <c r="AX7" i="4"/>
  <c r="AG8" i="4"/>
  <c r="AG9" i="4"/>
  <c r="AX9" i="4"/>
  <c r="BY9" i="4"/>
  <c r="CP9" i="4"/>
  <c r="AX10" i="4"/>
  <c r="CP10" i="4"/>
  <c r="CP11" i="4"/>
  <c r="CR71" i="4"/>
  <c r="Q4" i="4"/>
  <c r="AI4" i="4"/>
  <c r="AR4" i="4"/>
  <c r="CJ4" i="4"/>
  <c r="Q5" i="4"/>
  <c r="AI5" i="4"/>
  <c r="CJ5" i="4"/>
  <c r="CS5" i="4" s="1"/>
  <c r="CT5" i="4" s="1"/>
  <c r="AI6" i="4"/>
  <c r="CJ6" i="4"/>
  <c r="AI7" i="4"/>
  <c r="CJ7" i="4"/>
  <c r="CS7" i="4" s="1"/>
  <c r="Q8" i="4"/>
  <c r="AI8" i="4"/>
  <c r="BI8" i="4"/>
  <c r="CA8" i="4"/>
  <c r="K4" i="4"/>
  <c r="AB4" i="4"/>
  <c r="AK4" i="4"/>
  <c r="AT4" i="4"/>
  <c r="BC4" i="4"/>
  <c r="BT4" i="4"/>
  <c r="CC4" i="4"/>
  <c r="CL4" i="4"/>
  <c r="CR4" i="4"/>
  <c r="K5" i="4"/>
  <c r="AT5" i="4"/>
  <c r="BC5" i="4"/>
  <c r="CC5" i="4"/>
  <c r="CL5" i="4"/>
  <c r="K6" i="4"/>
  <c r="AK6" i="4"/>
  <c r="AT6" i="4"/>
  <c r="BC6" i="4"/>
  <c r="CC6" i="4"/>
  <c r="CL6" i="4"/>
  <c r="CS6" i="4" s="1"/>
  <c r="CR6" i="4"/>
  <c r="K7" i="4"/>
  <c r="AK7" i="4"/>
  <c r="AT7" i="4"/>
  <c r="BC7" i="4"/>
  <c r="CC7" i="4"/>
  <c r="CL7" i="4"/>
  <c r="CR7" i="4"/>
  <c r="K8" i="4"/>
  <c r="AK8" i="4"/>
  <c r="AT8" i="4"/>
  <c r="CC8" i="4"/>
  <c r="CL8" i="4"/>
  <c r="K9" i="4"/>
  <c r="AK9" i="4"/>
  <c r="AT9" i="4"/>
  <c r="BC9" i="4"/>
  <c r="CC9" i="4"/>
  <c r="CL9" i="4"/>
  <c r="CR9" i="4"/>
  <c r="K10" i="4"/>
  <c r="AK10" i="4"/>
  <c r="AT10" i="4"/>
  <c r="BC10" i="4"/>
  <c r="CC10" i="4"/>
  <c r="CL10" i="4"/>
  <c r="CR10" i="4"/>
  <c r="K11" i="4"/>
  <c r="AK11" i="4"/>
  <c r="AT11" i="4"/>
  <c r="BC11" i="4"/>
  <c r="CC11" i="4"/>
  <c r="CL11" i="4"/>
  <c r="CR11" i="4"/>
  <c r="K12" i="4"/>
  <c r="AK12" i="4"/>
  <c r="AT12" i="4"/>
  <c r="BC12" i="4"/>
  <c r="CC12" i="4"/>
  <c r="CL12" i="4"/>
  <c r="CR12" i="4"/>
  <c r="K13" i="4"/>
  <c r="BP23" i="4"/>
  <c r="BR23" i="4"/>
  <c r="BR71" i="4" s="1"/>
  <c r="X24" i="4"/>
  <c r="Z24" i="4"/>
  <c r="BY24" i="4"/>
  <c r="CA24" i="4"/>
  <c r="AG25" i="4"/>
  <c r="AK25" i="4"/>
  <c r="AI25" i="4"/>
  <c r="AM9" i="4"/>
  <c r="CE9" i="4"/>
  <c r="AM10" i="4"/>
  <c r="CE10" i="4"/>
  <c r="AM11" i="4"/>
  <c r="CE11" i="4"/>
  <c r="AM12" i="4"/>
  <c r="CE12" i="4"/>
  <c r="CN12" i="4"/>
  <c r="CS12" i="4" s="1"/>
  <c r="CT22" i="4"/>
  <c r="BP24" i="4"/>
  <c r="BR24" i="4"/>
  <c r="X25" i="4"/>
  <c r="CR25" i="4"/>
  <c r="Z25" i="4"/>
  <c r="CE4" i="4"/>
  <c r="AM6" i="4"/>
  <c r="CP4" i="4"/>
  <c r="AX8" i="4"/>
  <c r="CP8" i="4"/>
  <c r="CS8" i="4" s="1"/>
  <c r="CT8" i="4" s="1"/>
  <c r="AG12" i="4"/>
  <c r="AX12" i="4"/>
  <c r="BY12" i="4"/>
  <c r="AG23" i="4"/>
  <c r="AI23" i="4"/>
  <c r="CR23" i="4"/>
  <c r="BN24" i="4"/>
  <c r="BN71" i="4" s="1"/>
  <c r="V25" i="4"/>
  <c r="V71" i="4" s="1"/>
  <c r="CE7" i="4"/>
  <c r="AX4" i="4"/>
  <c r="BY4" i="4"/>
  <c r="BY7" i="4"/>
  <c r="AG10" i="4"/>
  <c r="BY10" i="4"/>
  <c r="AG11" i="4"/>
  <c r="AX11" i="4"/>
  <c r="BY11" i="4"/>
  <c r="BI4" i="4"/>
  <c r="CA4" i="4"/>
  <c r="X23" i="4"/>
  <c r="X71" i="4" s="1"/>
  <c r="Z23" i="4"/>
  <c r="Z71" i="4" s="1"/>
  <c r="AK23" i="4"/>
  <c r="BY23" i="4"/>
  <c r="CA23" i="4"/>
  <c r="AG24" i="4"/>
  <c r="AI24" i="4"/>
  <c r="BT24" i="4"/>
  <c r="CR24" i="4"/>
  <c r="AB25" i="4"/>
  <c r="BY25" i="4"/>
  <c r="CC25" i="4"/>
  <c r="CS25" i="4" s="1"/>
  <c r="CA25" i="4"/>
  <c r="AR23" i="4"/>
  <c r="CJ23" i="4"/>
  <c r="CS23" i="4" s="1"/>
  <c r="AR24" i="4"/>
  <c r="CJ24" i="4"/>
  <c r="CS24" i="4" s="1"/>
  <c r="AR25" i="4"/>
  <c r="BR25" i="4"/>
  <c r="CJ25" i="4"/>
  <c r="Z26" i="4"/>
  <c r="AI26" i="4"/>
  <c r="AR26" i="4"/>
  <c r="BR26" i="4"/>
  <c r="CA26" i="4"/>
  <c r="CJ26" i="4"/>
  <c r="CS26" i="4" s="1"/>
  <c r="Z27" i="4"/>
  <c r="AI27" i="4"/>
  <c r="AR27" i="4"/>
  <c r="BR27" i="4"/>
  <c r="CA27" i="4"/>
  <c r="CJ27" i="4"/>
  <c r="Z28" i="4"/>
  <c r="AI28" i="4"/>
  <c r="AR28" i="4"/>
  <c r="BR28" i="4"/>
  <c r="CA28" i="4"/>
  <c r="CJ28" i="4"/>
  <c r="CS28" i="4" s="1"/>
  <c r="Z29" i="4"/>
  <c r="AI29" i="4"/>
  <c r="AR29" i="4"/>
  <c r="BR29" i="4"/>
  <c r="CA29" i="4"/>
  <c r="CJ29" i="4"/>
  <c r="O31" i="4"/>
  <c r="X31" i="4"/>
  <c r="AG31" i="4"/>
  <c r="BG31" i="4"/>
  <c r="BG71" i="4" s="1"/>
  <c r="BP31" i="4"/>
  <c r="BY31" i="4"/>
  <c r="CS31" i="4" s="1"/>
  <c r="O32" i="4"/>
  <c r="O71" i="4" s="1"/>
  <c r="X32" i="4"/>
  <c r="AG32" i="4"/>
  <c r="BG32" i="4"/>
  <c r="BP32" i="4"/>
  <c r="BP71" i="4" s="1"/>
  <c r="BY32" i="4"/>
  <c r="O33" i="4"/>
  <c r="X33" i="4"/>
  <c r="AG33" i="4"/>
  <c r="BG33" i="4"/>
  <c r="BP33" i="4"/>
  <c r="BY33" i="4"/>
  <c r="CS33" i="4" s="1"/>
  <c r="O34" i="4"/>
  <c r="X34" i="4"/>
  <c r="AG34" i="4"/>
  <c r="BG34" i="4"/>
  <c r="BP34" i="4"/>
  <c r="BY34" i="4"/>
  <c r="O35" i="4"/>
  <c r="X35" i="4"/>
  <c r="AG35" i="4"/>
  <c r="BG35" i="4"/>
  <c r="BP35" i="4"/>
  <c r="BY35" i="4"/>
  <c r="CS35" i="4" s="1"/>
  <c r="CT35" i="4" s="1"/>
  <c r="O36" i="4"/>
  <c r="X36" i="4"/>
  <c r="AG36" i="4"/>
  <c r="BG36" i="4"/>
  <c r="BP36" i="4"/>
  <c r="BY36" i="4"/>
  <c r="CS36" i="4" s="1"/>
  <c r="O37" i="4"/>
  <c r="X37" i="4"/>
  <c r="AG37" i="4"/>
  <c r="BG37" i="4"/>
  <c r="BP37" i="4"/>
  <c r="BY37" i="4"/>
  <c r="CS37" i="4" s="1"/>
  <c r="O38" i="4"/>
  <c r="X38" i="4"/>
  <c r="AG38" i="4"/>
  <c r="BG38" i="4"/>
  <c r="BP38" i="4"/>
  <c r="BY38" i="4"/>
  <c r="CS38" i="4" s="1"/>
  <c r="O39" i="4"/>
  <c r="X39" i="4"/>
  <c r="AG39" i="4"/>
  <c r="BG39" i="4"/>
  <c r="BP39" i="4"/>
  <c r="BY39" i="4"/>
  <c r="CS39" i="4" s="1"/>
  <c r="O40" i="4"/>
  <c r="X40" i="4"/>
  <c r="AG40" i="4"/>
  <c r="BG40" i="4"/>
  <c r="BP40" i="4"/>
  <c r="BY40" i="4"/>
  <c r="O41" i="4"/>
  <c r="X41" i="4"/>
  <c r="AG41" i="4"/>
  <c r="BG41" i="4"/>
  <c r="BP41" i="4"/>
  <c r="BY41" i="4"/>
  <c r="CS41" i="4" s="1"/>
  <c r="O42" i="4"/>
  <c r="X42" i="4"/>
  <c r="AG42" i="4"/>
  <c r="BG42" i="4"/>
  <c r="BP42" i="4"/>
  <c r="BY42" i="4"/>
  <c r="M44" i="4"/>
  <c r="M71" i="4" s="1"/>
  <c r="V44" i="4"/>
  <c r="AV44" i="4"/>
  <c r="AV71" i="4" s="1"/>
  <c r="BE44" i="4"/>
  <c r="BN44" i="4"/>
  <c r="CN44" i="4"/>
  <c r="M45" i="4"/>
  <c r="Z45" i="4"/>
  <c r="AK45" i="4"/>
  <c r="BE45" i="4"/>
  <c r="BE71" i="4" s="1"/>
  <c r="BR45" i="4"/>
  <c r="CC45" i="4"/>
  <c r="Q46" i="4"/>
  <c r="AB46" i="4"/>
  <c r="AM46" i="4"/>
  <c r="BI46" i="4"/>
  <c r="BT46" i="4"/>
  <c r="CE46" i="4"/>
  <c r="CS46" i="4" s="1"/>
  <c r="CT47" i="4"/>
  <c r="V48" i="4"/>
  <c r="BT25" i="4"/>
  <c r="AB26" i="4"/>
  <c r="AK26" i="4"/>
  <c r="BT26" i="4"/>
  <c r="CC26" i="4"/>
  <c r="CR26" i="4"/>
  <c r="AB27" i="4"/>
  <c r="AK27" i="4"/>
  <c r="BT27" i="4"/>
  <c r="CC27" i="4"/>
  <c r="CS27" i="4" s="1"/>
  <c r="CR27" i="4"/>
  <c r="AB28" i="4"/>
  <c r="AK28" i="4"/>
  <c r="BT28" i="4"/>
  <c r="CC28" i="4"/>
  <c r="CR28" i="4"/>
  <c r="AB29" i="4"/>
  <c r="AK29" i="4"/>
  <c r="BT29" i="4"/>
  <c r="CC29" i="4"/>
  <c r="CR29" i="4"/>
  <c r="Q31" i="4"/>
  <c r="BI31" i="4"/>
  <c r="Q32" i="4"/>
  <c r="BI32" i="4"/>
  <c r="BR32" i="4"/>
  <c r="Q33" i="4"/>
  <c r="Z33" i="4"/>
  <c r="BI33" i="4"/>
  <c r="BR33" i="4"/>
  <c r="Q34" i="4"/>
  <c r="Z34" i="4"/>
  <c r="BI34" i="4"/>
  <c r="BR34" i="4"/>
  <c r="CS34" i="4" s="1"/>
  <c r="Q35" i="4"/>
  <c r="Z35" i="4"/>
  <c r="BI35" i="4"/>
  <c r="BR35" i="4"/>
  <c r="Q36" i="4"/>
  <c r="Z36" i="4"/>
  <c r="BI36" i="4"/>
  <c r="BR36" i="4"/>
  <c r="Q37" i="4"/>
  <c r="Z37" i="4"/>
  <c r="BI37" i="4"/>
  <c r="BR37" i="4"/>
  <c r="Q38" i="4"/>
  <c r="Z38" i="4"/>
  <c r="BI38" i="4"/>
  <c r="BR38" i="4"/>
  <c r="Q39" i="4"/>
  <c r="Z39" i="4"/>
  <c r="BI39" i="4"/>
  <c r="BR39" i="4"/>
  <c r="Q40" i="4"/>
  <c r="Z40" i="4"/>
  <c r="BI40" i="4"/>
  <c r="BR40" i="4"/>
  <c r="Q41" i="4"/>
  <c r="Z41" i="4"/>
  <c r="BI41" i="4"/>
  <c r="BR41" i="4"/>
  <c r="Q42" i="4"/>
  <c r="Z42" i="4"/>
  <c r="BI42" i="4"/>
  <c r="BR42" i="4"/>
  <c r="CS42" i="4" s="1"/>
  <c r="O44" i="4"/>
  <c r="AX44" i="4"/>
  <c r="BG44" i="4"/>
  <c r="CP44" i="4"/>
  <c r="Q45" i="4"/>
  <c r="AB45" i="4"/>
  <c r="AM45" i="4"/>
  <c r="BI45" i="4"/>
  <c r="BT45" i="4"/>
  <c r="CE45" i="4"/>
  <c r="CS45" i="4" s="1"/>
  <c r="AM26" i="4"/>
  <c r="CE26" i="4"/>
  <c r="AM27" i="4"/>
  <c r="CE27" i="4"/>
  <c r="AM28" i="4"/>
  <c r="CE28" i="4"/>
  <c r="V29" i="4"/>
  <c r="AM29" i="4"/>
  <c r="BN29" i="4"/>
  <c r="CE29" i="4"/>
  <c r="CS29" i="4" s="1"/>
  <c r="K31" i="4"/>
  <c r="AB31" i="4"/>
  <c r="BC31" i="4"/>
  <c r="BT31" i="4"/>
  <c r="CR31" i="4"/>
  <c r="CT31" i="4" s="1"/>
  <c r="K32" i="4"/>
  <c r="AB32" i="4"/>
  <c r="BC32" i="4"/>
  <c r="BT32" i="4"/>
  <c r="CS32" i="4" s="1"/>
  <c r="CR32" i="4"/>
  <c r="CT32" i="4" s="1"/>
  <c r="K33" i="4"/>
  <c r="AB33" i="4"/>
  <c r="BC33" i="4"/>
  <c r="BT33" i="4"/>
  <c r="CR33" i="4"/>
  <c r="CT33" i="4" s="1"/>
  <c r="K34" i="4"/>
  <c r="AB34" i="4"/>
  <c r="BT34" i="4"/>
  <c r="CR34" i="4"/>
  <c r="AB35" i="4"/>
  <c r="BT35" i="4"/>
  <c r="CR35" i="4"/>
  <c r="AB36" i="4"/>
  <c r="BT36" i="4"/>
  <c r="CR36" i="4"/>
  <c r="AB37" i="4"/>
  <c r="BT37" i="4"/>
  <c r="CR37" i="4"/>
  <c r="CT37" i="4" s="1"/>
  <c r="AB38" i="4"/>
  <c r="BT38" i="4"/>
  <c r="CR38" i="4"/>
  <c r="CT38" i="4" s="1"/>
  <c r="AB39" i="4"/>
  <c r="BT39" i="4"/>
  <c r="CR39" i="4"/>
  <c r="CT39" i="4" s="1"/>
  <c r="AB40" i="4"/>
  <c r="BT40" i="4"/>
  <c r="CS40" i="4" s="1"/>
  <c r="CR40" i="4"/>
  <c r="AB41" i="4"/>
  <c r="BT41" i="4"/>
  <c r="CR41" i="4"/>
  <c r="CT41" i="4" s="1"/>
  <c r="AB42" i="4"/>
  <c r="BT42" i="4"/>
  <c r="CR42" i="4"/>
  <c r="Q44" i="4"/>
  <c r="BI44" i="4"/>
  <c r="CR46" i="4"/>
  <c r="CT46" i="4" s="1"/>
  <c r="K44" i="4"/>
  <c r="K45" i="4"/>
  <c r="V45" i="4"/>
  <c r="AI45" i="4"/>
  <c r="BC45" i="4"/>
  <c r="BN45" i="4"/>
  <c r="CA45" i="4"/>
  <c r="CR45" i="4"/>
  <c r="CT45" i="4" s="1"/>
  <c r="M46" i="4"/>
  <c r="Z46" i="4"/>
  <c r="AK46" i="4"/>
  <c r="BE46" i="4"/>
  <c r="BR46" i="4"/>
  <c r="CC46" i="4"/>
  <c r="CR48" i="4"/>
  <c r="O48" i="4"/>
  <c r="AM48" i="4"/>
  <c r="CS48" i="4" s="1"/>
  <c r="AG48" i="4"/>
  <c r="AG49" i="4"/>
  <c r="AR49" i="4"/>
  <c r="BE49" i="4"/>
  <c r="CS49" i="4" s="1"/>
  <c r="BY49" i="4"/>
  <c r="CJ49" i="4"/>
  <c r="AI50" i="4"/>
  <c r="AV50" i="4"/>
  <c r="BG50" i="4"/>
  <c r="CA50" i="4"/>
  <c r="CN50" i="4"/>
  <c r="CS50" i="4" s="1"/>
  <c r="X52" i="4"/>
  <c r="AK52" i="4"/>
  <c r="AV52" i="4"/>
  <c r="BP52" i="4"/>
  <c r="CC52" i="4"/>
  <c r="CS52" i="4" s="1"/>
  <c r="CN52" i="4"/>
  <c r="X53" i="4"/>
  <c r="AK53" i="4"/>
  <c r="AV53" i="4"/>
  <c r="BP53" i="4"/>
  <c r="CC53" i="4"/>
  <c r="CN53" i="4"/>
  <c r="CS53" i="4" s="1"/>
  <c r="X54" i="4"/>
  <c r="AK54" i="4"/>
  <c r="AV54" i="4"/>
  <c r="BP54" i="4"/>
  <c r="CC54" i="4"/>
  <c r="CN54" i="4"/>
  <c r="X55" i="4"/>
  <c r="AK55" i="4"/>
  <c r="AV55" i="4"/>
  <c r="BP55" i="4"/>
  <c r="CC55" i="4"/>
  <c r="CN55" i="4"/>
  <c r="CS55" i="4" s="1"/>
  <c r="X56" i="4"/>
  <c r="AK56" i="4"/>
  <c r="AV56" i="4"/>
  <c r="BP56" i="4"/>
  <c r="CC56" i="4"/>
  <c r="CN56" i="4"/>
  <c r="CS56" i="4" s="1"/>
  <c r="X57" i="4"/>
  <c r="AK57" i="4"/>
  <c r="AV57" i="4"/>
  <c r="BP57" i="4"/>
  <c r="CC57" i="4"/>
  <c r="CN57" i="4"/>
  <c r="CS57" i="4" s="1"/>
  <c r="X58" i="4"/>
  <c r="AK58" i="4"/>
  <c r="AV58" i="4"/>
  <c r="BP58" i="4"/>
  <c r="CC58" i="4"/>
  <c r="CN58" i="4"/>
  <c r="X59" i="4"/>
  <c r="AK59" i="4"/>
  <c r="AV59" i="4"/>
  <c r="BP59" i="4"/>
  <c r="CC59" i="4"/>
  <c r="CN59" i="4"/>
  <c r="CS59" i="4" s="1"/>
  <c r="X60" i="4"/>
  <c r="AK60" i="4"/>
  <c r="AV60" i="4"/>
  <c r="BP60" i="4"/>
  <c r="CC60" i="4"/>
  <c r="CS60" i="4" s="1"/>
  <c r="CN60" i="4"/>
  <c r="X61" i="4"/>
  <c r="AK61" i="4"/>
  <c r="AV61" i="4"/>
  <c r="BP61" i="4"/>
  <c r="CC61" i="4"/>
  <c r="CN61" i="4"/>
  <c r="CS61" i="4" s="1"/>
  <c r="AG62" i="4"/>
  <c r="AI62" i="4"/>
  <c r="X62" i="4"/>
  <c r="Z62" i="4"/>
  <c r="BY62" i="4"/>
  <c r="CA62" i="4"/>
  <c r="AG63" i="4"/>
  <c r="AI63" i="4"/>
  <c r="CR50" i="4"/>
  <c r="CT50" i="4" s="1"/>
  <c r="K50" i="4"/>
  <c r="V62" i="4"/>
  <c r="BP62" i="4"/>
  <c r="BR62" i="4"/>
  <c r="CC62" i="4"/>
  <c r="X63" i="4"/>
  <c r="Z63" i="4"/>
  <c r="AK63" i="4"/>
  <c r="BY63" i="4"/>
  <c r="CA63" i="4"/>
  <c r="CR65" i="4"/>
  <c r="CT65" i="4" s="1"/>
  <c r="K65" i="4"/>
  <c r="M65" i="4"/>
  <c r="Q65" i="4"/>
  <c r="O65" i="4"/>
  <c r="CR49" i="4"/>
  <c r="K49" i="4"/>
  <c r="M50" i="4"/>
  <c r="AG50" i="4"/>
  <c r="AR50" i="4"/>
  <c r="BE50" i="4"/>
  <c r="BY50" i="4"/>
  <c r="CJ50" i="4"/>
  <c r="V52" i="4"/>
  <c r="AG52" i="4"/>
  <c r="AT52" i="4"/>
  <c r="BN52" i="4"/>
  <c r="BY52" i="4"/>
  <c r="CL52" i="4"/>
  <c r="CR52" i="4"/>
  <c r="V53" i="4"/>
  <c r="AG53" i="4"/>
  <c r="AT53" i="4"/>
  <c r="BN53" i="4"/>
  <c r="BY53" i="4"/>
  <c r="CL53" i="4"/>
  <c r="CR53" i="4"/>
  <c r="V54" i="4"/>
  <c r="AG54" i="4"/>
  <c r="AT54" i="4"/>
  <c r="BN54" i="4"/>
  <c r="BY54" i="4"/>
  <c r="CL54" i="4"/>
  <c r="CS54" i="4" s="1"/>
  <c r="CR54" i="4"/>
  <c r="V55" i="4"/>
  <c r="AG55" i="4"/>
  <c r="AT55" i="4"/>
  <c r="BN55" i="4"/>
  <c r="BY55" i="4"/>
  <c r="CL55" i="4"/>
  <c r="CR55" i="4"/>
  <c r="V56" i="4"/>
  <c r="AG56" i="4"/>
  <c r="AT56" i="4"/>
  <c r="BN56" i="4"/>
  <c r="BY56" i="4"/>
  <c r="CL56" i="4"/>
  <c r="CR56" i="4"/>
  <c r="V57" i="4"/>
  <c r="AG57" i="4"/>
  <c r="AT57" i="4"/>
  <c r="BN57" i="4"/>
  <c r="BY57" i="4"/>
  <c r="CL57" i="4"/>
  <c r="CR57" i="4"/>
  <c r="V58" i="4"/>
  <c r="AG58" i="4"/>
  <c r="AT58" i="4"/>
  <c r="BN58" i="4"/>
  <c r="BY58" i="4"/>
  <c r="CL58" i="4"/>
  <c r="CS58" i="4" s="1"/>
  <c r="CR58" i="4"/>
  <c r="V59" i="4"/>
  <c r="AG59" i="4"/>
  <c r="AT59" i="4"/>
  <c r="BN59" i="4"/>
  <c r="BY59" i="4"/>
  <c r="CL59" i="4"/>
  <c r="CR59" i="4"/>
  <c r="V60" i="4"/>
  <c r="AG60" i="4"/>
  <c r="AT60" i="4"/>
  <c r="BN60" i="4"/>
  <c r="BY60" i="4"/>
  <c r="CL60" i="4"/>
  <c r="CR60" i="4"/>
  <c r="V61" i="4"/>
  <c r="AG61" i="4"/>
  <c r="AT61" i="4"/>
  <c r="BN61" i="4"/>
  <c r="BY61" i="4"/>
  <c r="CL61" i="4"/>
  <c r="CR61" i="4"/>
  <c r="AB62" i="4"/>
  <c r="BN62" i="4"/>
  <c r="CE62" i="4"/>
  <c r="V63" i="4"/>
  <c r="AM63" i="4"/>
  <c r="BP63" i="4"/>
  <c r="BR63" i="4"/>
  <c r="CC63" i="4"/>
  <c r="AK65" i="4"/>
  <c r="AG65" i="4"/>
  <c r="AM65" i="4"/>
  <c r="AI65" i="4"/>
  <c r="AR62" i="4"/>
  <c r="CJ62" i="4"/>
  <c r="CS62" i="4" s="1"/>
  <c r="CT62" i="4" s="1"/>
  <c r="CR63" i="4"/>
  <c r="Q63" i="4"/>
  <c r="AR63" i="4"/>
  <c r="CJ63" i="4"/>
  <c r="CS63" i="4" s="1"/>
  <c r="AG64" i="4"/>
  <c r="AR64" i="4"/>
  <c r="BE64" i="4"/>
  <c r="BY64" i="4"/>
  <c r="CJ64" i="4"/>
  <c r="CS64" i="4" s="1"/>
  <c r="AV65" i="4"/>
  <c r="BG65" i="4"/>
  <c r="CA65" i="4"/>
  <c r="CN65" i="4"/>
  <c r="AM66" i="4"/>
  <c r="AX66" i="4"/>
  <c r="BI66" i="4"/>
  <c r="CE66" i="4"/>
  <c r="CP66" i="4"/>
  <c r="CR67" i="4"/>
  <c r="K67" i="4"/>
  <c r="CS67" i="4" s="1"/>
  <c r="AG68" i="4"/>
  <c r="AR68" i="4"/>
  <c r="BE68" i="4"/>
  <c r="BY68" i="4"/>
  <c r="CJ68" i="4"/>
  <c r="CS68" i="4" s="1"/>
  <c r="O69" i="4"/>
  <c r="AI69" i="4"/>
  <c r="AV69" i="4"/>
  <c r="BG69" i="4"/>
  <c r="CA69" i="4"/>
  <c r="CN69" i="4"/>
  <c r="AM70" i="4"/>
  <c r="AX70" i="4"/>
  <c r="BI70" i="4"/>
  <c r="CE70" i="4"/>
  <c r="CP70" i="4"/>
  <c r="X73" i="4"/>
  <c r="CR73" i="4"/>
  <c r="Z73" i="4"/>
  <c r="BY73" i="4"/>
  <c r="CA73" i="4"/>
  <c r="AX65" i="4"/>
  <c r="BI65" i="4"/>
  <c r="CE65" i="4"/>
  <c r="CP65" i="4"/>
  <c r="CS65" i="4" s="1"/>
  <c r="CR66" i="4"/>
  <c r="K66" i="4"/>
  <c r="AM69" i="4"/>
  <c r="AX69" i="4"/>
  <c r="BI69" i="4"/>
  <c r="CE69" i="4"/>
  <c r="CP69" i="4"/>
  <c r="CR70" i="4"/>
  <c r="K70" i="4"/>
  <c r="BP73" i="4"/>
  <c r="BR73" i="4"/>
  <c r="CR69" i="4"/>
  <c r="K69" i="4"/>
  <c r="CR64" i="4"/>
  <c r="K64" i="4"/>
  <c r="AR65" i="4"/>
  <c r="BE65" i="4"/>
  <c r="BY65" i="4"/>
  <c r="CJ65" i="4"/>
  <c r="O66" i="4"/>
  <c r="AI66" i="4"/>
  <c r="AV66" i="4"/>
  <c r="BG66" i="4"/>
  <c r="CA66" i="4"/>
  <c r="CN66" i="4"/>
  <c r="CR68" i="4"/>
  <c r="K68" i="4"/>
  <c r="M69" i="4"/>
  <c r="AG69" i="4"/>
  <c r="AR69" i="4"/>
  <c r="BE69" i="4"/>
  <c r="BY69" i="4"/>
  <c r="CJ69" i="4"/>
  <c r="O70" i="4"/>
  <c r="AI70" i="4"/>
  <c r="AV70" i="4"/>
  <c r="BG70" i="4"/>
  <c r="CA70" i="4"/>
  <c r="CN70" i="4"/>
  <c r="AG73" i="4"/>
  <c r="AI73" i="4"/>
  <c r="BT73" i="4"/>
  <c r="AR73" i="4"/>
  <c r="CJ73" i="4"/>
  <c r="CS73" i="4" s="1"/>
  <c r="AZ70" i="1" l="1"/>
  <c r="AV70" i="1"/>
  <c r="AT70" i="1"/>
  <c r="AO70" i="1"/>
  <c r="AK70" i="1"/>
  <c r="AI70" i="1"/>
  <c r="CR66" i="1"/>
  <c r="CN66" i="1"/>
  <c r="CL66" i="1"/>
  <c r="AO66" i="1"/>
  <c r="AK66" i="1"/>
  <c r="AI66" i="1"/>
  <c r="BV70" i="1"/>
  <c r="BR70" i="1"/>
  <c r="BP70" i="1"/>
  <c r="BK70" i="1"/>
  <c r="BG70" i="1"/>
  <c r="BE70" i="1"/>
  <c r="BK66" i="1"/>
  <c r="BG66" i="1"/>
  <c r="BE66" i="1"/>
  <c r="CR70" i="1"/>
  <c r="CN70" i="1"/>
  <c r="CL70" i="1"/>
  <c r="CG70" i="1"/>
  <c r="CC70" i="1"/>
  <c r="CA70" i="1"/>
  <c r="AZ66" i="1"/>
  <c r="AV66" i="1"/>
  <c r="AT66" i="1"/>
  <c r="CG66" i="1"/>
  <c r="CC66" i="1"/>
  <c r="CA66" i="1"/>
  <c r="AD66" i="1"/>
  <c r="Z66" i="1"/>
  <c r="X66" i="1"/>
  <c r="AD70" i="1"/>
  <c r="Z70" i="1"/>
  <c r="X70" i="1"/>
  <c r="S70" i="1"/>
  <c r="O70" i="1"/>
  <c r="M70" i="1"/>
  <c r="BV66" i="1"/>
  <c r="BR66" i="1"/>
  <c r="BP66" i="1"/>
  <c r="S66" i="1"/>
  <c r="O66" i="1"/>
  <c r="CU66" i="1" s="1"/>
  <c r="CV66" i="1" s="1"/>
  <c r="M66" i="1"/>
  <c r="CE58" i="1"/>
  <c r="CG58" i="1"/>
  <c r="CC58" i="1"/>
  <c r="BG19" i="1"/>
  <c r="BI19" i="1"/>
  <c r="CT67" i="1"/>
  <c r="O35" i="1"/>
  <c r="M35" i="1"/>
  <c r="Q35" i="1"/>
  <c r="BV19" i="1"/>
  <c r="AO67" i="1"/>
  <c r="AK67" i="1"/>
  <c r="AI67" i="1"/>
  <c r="S67" i="1"/>
  <c r="O67" i="1"/>
  <c r="M67" i="1"/>
  <c r="BV67" i="1"/>
  <c r="BR67" i="1"/>
  <c r="BP67" i="1"/>
  <c r="X72" i="1"/>
  <c r="Z72" i="1"/>
  <c r="AD72" i="1"/>
  <c r="BE72" i="1"/>
  <c r="BK72" i="1"/>
  <c r="BG72" i="1"/>
  <c r="BK67" i="1"/>
  <c r="BG67" i="1"/>
  <c r="BE67" i="1"/>
  <c r="CR67" i="1"/>
  <c r="CN67" i="1"/>
  <c r="CL67" i="1"/>
  <c r="AT72" i="1"/>
  <c r="AZ72" i="1"/>
  <c r="AV72" i="1"/>
  <c r="M72" i="1"/>
  <c r="S72" i="1"/>
  <c r="O72" i="1"/>
  <c r="CG67" i="1"/>
  <c r="CC67" i="1"/>
  <c r="CA67" i="1"/>
  <c r="AD67" i="1"/>
  <c r="Z67" i="1"/>
  <c r="X67" i="1"/>
  <c r="CA72" i="1"/>
  <c r="CC72" i="1"/>
  <c r="CG72" i="1"/>
  <c r="BP72" i="1"/>
  <c r="BV72" i="1"/>
  <c r="BR72" i="1"/>
  <c r="AZ67" i="1"/>
  <c r="AV67" i="1"/>
  <c r="AT67" i="1"/>
  <c r="CL72" i="1"/>
  <c r="CN72" i="1"/>
  <c r="CR72" i="1"/>
  <c r="AI72" i="1"/>
  <c r="AK72" i="1"/>
  <c r="AO72" i="1"/>
  <c r="AV57" i="1"/>
  <c r="M19" i="1"/>
  <c r="Q19" i="1"/>
  <c r="BE19" i="1"/>
  <c r="BP19" i="1"/>
  <c r="AM19" i="1"/>
  <c r="AK19" i="1"/>
  <c r="CC18" i="1"/>
  <c r="AV18" i="1"/>
  <c r="CU69" i="1"/>
  <c r="CV69" i="1" s="1"/>
  <c r="CU68" i="1"/>
  <c r="CV68" i="1" s="1"/>
  <c r="CU71" i="1"/>
  <c r="CV71" i="1" s="1"/>
  <c r="AV65" i="1"/>
  <c r="AT65" i="1"/>
  <c r="AX65" i="1"/>
  <c r="AZ65" i="1"/>
  <c r="BE65" i="1"/>
  <c r="BK65" i="1"/>
  <c r="BG65" i="1"/>
  <c r="BI65" i="1"/>
  <c r="CT70" i="1"/>
  <c r="AM65" i="1"/>
  <c r="AK65" i="1"/>
  <c r="AO65" i="1"/>
  <c r="AI65" i="1"/>
  <c r="CN65" i="1"/>
  <c r="CL65" i="1"/>
  <c r="CP65" i="1"/>
  <c r="CR65" i="1"/>
  <c r="CE65" i="1"/>
  <c r="CC65" i="1"/>
  <c r="CG65" i="1"/>
  <c r="CA65" i="1"/>
  <c r="AD65" i="1"/>
  <c r="AB65" i="1"/>
  <c r="X65" i="1"/>
  <c r="Z65" i="1"/>
  <c r="CT72" i="1"/>
  <c r="CT65" i="1"/>
  <c r="M65" i="1"/>
  <c r="S65" i="1"/>
  <c r="O65" i="1"/>
  <c r="Q65" i="1"/>
  <c r="BV65" i="1"/>
  <c r="BT65" i="1"/>
  <c r="BP65" i="1"/>
  <c r="BR65" i="1"/>
  <c r="BP17" i="1"/>
  <c r="CR17" i="1"/>
  <c r="AB17" i="1"/>
  <c r="AD17" i="1"/>
  <c r="X17" i="1"/>
  <c r="BT17" i="1"/>
  <c r="CL17" i="1"/>
  <c r="M17" i="1"/>
  <c r="BV17" i="1"/>
  <c r="CN17" i="1"/>
  <c r="BI17" i="1"/>
  <c r="BK17" i="1"/>
  <c r="Q17" i="1"/>
  <c r="S17" i="1"/>
  <c r="AX17" i="1"/>
  <c r="AT17" i="1"/>
  <c r="AV17" i="1"/>
  <c r="AZ17" i="1"/>
  <c r="CA17" i="1"/>
  <c r="CC17" i="1"/>
  <c r="CE17" i="1"/>
  <c r="CG17" i="1"/>
  <c r="CT70" i="4"/>
  <c r="CT42" i="4"/>
  <c r="CT34" i="4"/>
  <c r="CT40" i="4"/>
  <c r="CT36" i="4"/>
  <c r="CT63" i="4"/>
  <c r="CS69" i="4"/>
  <c r="CT69" i="4" s="1"/>
  <c r="CT64" i="4"/>
  <c r="CT67" i="4"/>
  <c r="CT60" i="4"/>
  <c r="CT56" i="4"/>
  <c r="CT52" i="4"/>
  <c r="CT73" i="4"/>
  <c r="CS66" i="4"/>
  <c r="CT66" i="4" s="1"/>
  <c r="CT61" i="4"/>
  <c r="CT57" i="4"/>
  <c r="CT53" i="4"/>
  <c r="CT48" i="4"/>
  <c r="CT29" i="4"/>
  <c r="CT24" i="4"/>
  <c r="CN71" i="4"/>
  <c r="BT71" i="4"/>
  <c r="AB71" i="4"/>
  <c r="AI71" i="4"/>
  <c r="CS11" i="4"/>
  <c r="CT11" i="4" s="1"/>
  <c r="CT58" i="4"/>
  <c r="CT54" i="4"/>
  <c r="CT49" i="4"/>
  <c r="CT28" i="4"/>
  <c r="CA71" i="4"/>
  <c r="BY71" i="4"/>
  <c r="CT12" i="4"/>
  <c r="CT6" i="4"/>
  <c r="BC71" i="4"/>
  <c r="K71" i="4"/>
  <c r="CJ71" i="4"/>
  <c r="CS10" i="4"/>
  <c r="CT27" i="4"/>
  <c r="BI71" i="4"/>
  <c r="CT25" i="4"/>
  <c r="CT7" i="4"/>
  <c r="CL71" i="4"/>
  <c r="AT71" i="4"/>
  <c r="Q71" i="4"/>
  <c r="CS70" i="4"/>
  <c r="CT59" i="4"/>
  <c r="CT55" i="4"/>
  <c r="CT68" i="4"/>
  <c r="CS44" i="4"/>
  <c r="CT44" i="4" s="1"/>
  <c r="CT26" i="4"/>
  <c r="AX71" i="4"/>
  <c r="CT23" i="4"/>
  <c r="CP71" i="4"/>
  <c r="CS4" i="4"/>
  <c r="CT4" i="4" s="1"/>
  <c r="CE71" i="4"/>
  <c r="CT10" i="4"/>
  <c r="CC71" i="4"/>
  <c r="AK71" i="4"/>
  <c r="AR71" i="4"/>
  <c r="CS9" i="4"/>
  <c r="CT9" i="4" s="1"/>
  <c r="AG71" i="4"/>
  <c r="AM71" i="4"/>
  <c r="CU67" i="1" l="1"/>
  <c r="CV67" i="1" s="1"/>
  <c r="CU72" i="1"/>
  <c r="CV72" i="1" s="1"/>
  <c r="CU65" i="1"/>
  <c r="CV65" i="1" s="1"/>
  <c r="CU70" i="1"/>
  <c r="CV70" i="1" s="1"/>
  <c r="CS71" i="4"/>
  <c r="CT71" i="4" s="1"/>
  <c r="W13" i="2"/>
  <c r="W14" i="2"/>
  <c r="W15" i="2"/>
  <c r="W16" i="2"/>
  <c r="W17" i="2"/>
  <c r="W19" i="2"/>
  <c r="W92" i="2"/>
  <c r="W102" i="2"/>
  <c r="W8" i="2"/>
  <c r="W12" i="2"/>
  <c r="F63" i="1"/>
  <c r="I43" i="2" s="1"/>
  <c r="O43" i="2" s="1"/>
  <c r="H41" i="2"/>
  <c r="N41" i="2" s="1"/>
  <c r="H112" i="2"/>
  <c r="N112" i="2" s="1"/>
  <c r="D44" i="1"/>
  <c r="F113" i="2" s="1"/>
  <c r="F45" i="1"/>
  <c r="I117" i="2" s="1"/>
  <c r="O117" i="2" s="1"/>
  <c r="H116" i="2"/>
  <c r="N116" i="2" s="1"/>
  <c r="F28" i="1"/>
  <c r="I114" i="2" s="1"/>
  <c r="O114" i="2" s="1"/>
  <c r="H59" i="2"/>
  <c r="N59" i="2" s="1"/>
  <c r="H97" i="2"/>
  <c r="N97" i="2" s="1"/>
  <c r="H62" i="2"/>
  <c r="N62" i="2" s="1"/>
  <c r="H61" i="2"/>
  <c r="N61" i="2" s="1"/>
  <c r="H107" i="2"/>
  <c r="N107" i="2" s="1"/>
  <c r="F126" i="2"/>
  <c r="H66" i="2"/>
  <c r="N66" i="2" s="1"/>
  <c r="H65" i="2"/>
  <c r="N65" i="2" s="1"/>
  <c r="H83" i="2"/>
  <c r="N83" i="2" s="1"/>
  <c r="H57" i="2"/>
  <c r="N57" i="2" s="1"/>
  <c r="H72" i="2"/>
  <c r="N72" i="2" s="1"/>
  <c r="H71" i="2"/>
  <c r="N71" i="2" s="1"/>
  <c r="H70" i="2"/>
  <c r="N70" i="2" s="1"/>
  <c r="H79" i="2"/>
  <c r="N79" i="2" s="1"/>
  <c r="H78" i="2"/>
  <c r="N78" i="2" s="1"/>
  <c r="H77" i="2"/>
  <c r="N77" i="2" s="1"/>
  <c r="W76" i="2" l="1"/>
  <c r="W77" i="2"/>
  <c r="F43" i="1"/>
  <c r="I115" i="2" s="1"/>
  <c r="O115" i="2" s="1"/>
  <c r="H43" i="2"/>
  <c r="D62" i="1"/>
  <c r="F39" i="2" s="1"/>
  <c r="W80" i="2"/>
  <c r="W78" i="2"/>
  <c r="W112" i="2"/>
  <c r="W117" i="2"/>
  <c r="H39" i="2"/>
  <c r="N39" i="2" s="1"/>
  <c r="H114" i="2"/>
  <c r="N114" i="2" s="1"/>
  <c r="CJ63" i="1"/>
  <c r="CP63" i="1" s="1"/>
  <c r="F30" i="1"/>
  <c r="I116" i="2" s="1"/>
  <c r="O116" i="2" s="1"/>
  <c r="W115" i="2"/>
  <c r="F61" i="1"/>
  <c r="W98" i="2"/>
  <c r="W71" i="2"/>
  <c r="W57" i="2"/>
  <c r="W41" i="2"/>
  <c r="W85" i="2"/>
  <c r="W107" i="2"/>
  <c r="W83" i="2"/>
  <c r="W65" i="2"/>
  <c r="W67" i="2"/>
  <c r="W68" i="2"/>
  <c r="W59" i="2"/>
  <c r="W60" i="2"/>
  <c r="W86" i="2"/>
  <c r="W66" i="2"/>
  <c r="W61" i="2"/>
  <c r="W116" i="2"/>
  <c r="W79" i="2"/>
  <c r="W82" i="2"/>
  <c r="W58" i="2"/>
  <c r="W84" i="2"/>
  <c r="W108" i="2"/>
  <c r="W62" i="2"/>
  <c r="W72" i="2"/>
  <c r="K63" i="1"/>
  <c r="AG63" i="1"/>
  <c r="BC63" i="1"/>
  <c r="BY63" i="1"/>
  <c r="CS63" i="1"/>
  <c r="V63" i="1"/>
  <c r="AR63" i="1"/>
  <c r="BN63" i="1"/>
  <c r="BC61" i="1"/>
  <c r="W75" i="2"/>
  <c r="W81" i="2"/>
  <c r="BY61" i="1" l="1"/>
  <c r="CG61" i="1" s="1"/>
  <c r="I41" i="2"/>
  <c r="O41" i="2" s="1"/>
  <c r="W43" i="2"/>
  <c r="N43" i="2"/>
  <c r="CR63" i="1"/>
  <c r="W114" i="2"/>
  <c r="CL63" i="1"/>
  <c r="CN63" i="1"/>
  <c r="K61" i="1"/>
  <c r="Q61" i="1" s="1"/>
  <c r="AG61" i="1"/>
  <c r="AK61" i="1" s="1"/>
  <c r="CJ61" i="1"/>
  <c r="CR61" i="1" s="1"/>
  <c r="V61" i="1"/>
  <c r="AD61" i="1" s="1"/>
  <c r="BN61" i="1"/>
  <c r="BT61" i="1" s="1"/>
  <c r="W39" i="2"/>
  <c r="W113" i="2"/>
  <c r="AR61" i="1"/>
  <c r="CS61" i="1"/>
  <c r="BK61" i="1"/>
  <c r="BI61" i="1"/>
  <c r="BG61" i="1"/>
  <c r="BE61" i="1"/>
  <c r="AD63" i="1"/>
  <c r="AB63" i="1"/>
  <c r="Z63" i="1"/>
  <c r="X63" i="1"/>
  <c r="O63" i="1"/>
  <c r="CT63" i="1"/>
  <c r="M63" i="1"/>
  <c r="S63" i="1"/>
  <c r="Q63" i="1"/>
  <c r="AM61" i="1"/>
  <c r="AO61" i="1"/>
  <c r="CC63" i="1"/>
  <c r="CA63" i="1"/>
  <c r="CG63" i="1"/>
  <c r="CE63" i="1"/>
  <c r="BV63" i="1"/>
  <c r="BT63" i="1"/>
  <c r="BR63" i="1"/>
  <c r="BP63" i="1"/>
  <c r="BI63" i="1"/>
  <c r="BG63" i="1"/>
  <c r="BE63" i="1"/>
  <c r="BK63" i="1"/>
  <c r="CC61" i="1"/>
  <c r="CA61" i="1"/>
  <c r="AZ63" i="1"/>
  <c r="AX63" i="1"/>
  <c r="AV63" i="1"/>
  <c r="AT63" i="1"/>
  <c r="AK63" i="1"/>
  <c r="AI63" i="1"/>
  <c r="AO63" i="1"/>
  <c r="AM63" i="1"/>
  <c r="X61" i="1" l="1"/>
  <c r="AB61" i="1"/>
  <c r="CE61" i="1"/>
  <c r="S61" i="1"/>
  <c r="CN61" i="1"/>
  <c r="M61" i="1"/>
  <c r="BR61" i="1"/>
  <c r="O61" i="1"/>
  <c r="Z61" i="1"/>
  <c r="AI61" i="1"/>
  <c r="CP61" i="1"/>
  <c r="CL61" i="1"/>
  <c r="BV61" i="1"/>
  <c r="CT61" i="1"/>
  <c r="BP61" i="1"/>
  <c r="AV61" i="1"/>
  <c r="AT61" i="1"/>
  <c r="AX61" i="1"/>
  <c r="AZ61" i="1"/>
  <c r="CU63" i="1"/>
  <c r="CV63" i="1" s="1"/>
  <c r="CU61" i="1" l="1"/>
  <c r="CV61" i="1" s="1"/>
  <c r="W74" i="2"/>
  <c r="W70" i="2"/>
  <c r="H69" i="2"/>
  <c r="N69" i="2" s="1"/>
  <c r="H63" i="2"/>
  <c r="N63" i="2" s="1"/>
  <c r="H21" i="2"/>
  <c r="N21" i="2" s="1"/>
  <c r="H22" i="2"/>
  <c r="N22" i="2" s="1"/>
  <c r="CS59" i="1"/>
  <c r="W73" i="2" l="1"/>
  <c r="W21" i="2"/>
  <c r="W63" i="2"/>
  <c r="W64" i="2"/>
  <c r="W22" i="2"/>
  <c r="W69" i="2"/>
  <c r="CT59" i="1" l="1"/>
  <c r="CU59" i="1" l="1"/>
  <c r="CV59" i="1" s="1"/>
  <c r="H109" i="2" l="1"/>
  <c r="N109" i="2" s="1"/>
  <c r="H35" i="2"/>
  <c r="N35" i="2" s="1"/>
  <c r="H34" i="2"/>
  <c r="N34" i="2" s="1"/>
  <c r="H33" i="2"/>
  <c r="N33" i="2" s="1"/>
  <c r="H28" i="2"/>
  <c r="N28" i="2" s="1"/>
  <c r="H27" i="2"/>
  <c r="N27" i="2" s="1"/>
  <c r="H26" i="2"/>
  <c r="N26" i="2" s="1"/>
  <c r="H25" i="2"/>
  <c r="N25" i="2" s="1"/>
  <c r="H123" i="2"/>
  <c r="N123" i="2" s="1"/>
  <c r="H121" i="2"/>
  <c r="N121" i="2" s="1"/>
  <c r="H118" i="2"/>
  <c r="N118" i="2" s="1"/>
  <c r="H111" i="2"/>
  <c r="N111" i="2" s="1"/>
  <c r="F111" i="2"/>
  <c r="H7" i="2"/>
  <c r="N7" i="2" s="1"/>
  <c r="H6" i="2"/>
  <c r="N6" i="2" s="1"/>
  <c r="F7" i="2"/>
  <c r="F6" i="2"/>
  <c r="H95" i="2"/>
  <c r="N95" i="2" s="1"/>
  <c r="H93" i="2"/>
  <c r="N93" i="2" s="1"/>
  <c r="H51" i="2"/>
  <c r="N51" i="2" s="1"/>
  <c r="F51" i="2"/>
  <c r="H126" i="2"/>
  <c r="F87" i="2"/>
  <c r="W87" i="2" s="1"/>
  <c r="F50" i="2"/>
  <c r="W50" i="2" s="1"/>
  <c r="H88" i="2"/>
  <c r="H103" i="2"/>
  <c r="H45" i="2"/>
  <c r="H52" i="2"/>
  <c r="H20" i="2"/>
  <c r="N20" i="2" s="1"/>
  <c r="M62" i="2"/>
  <c r="M61" i="2"/>
  <c r="W52" i="2" l="1"/>
  <c r="N52" i="2"/>
  <c r="W45" i="2"/>
  <c r="N45" i="2"/>
  <c r="W126" i="2"/>
  <c r="N126" i="2"/>
  <c r="W103" i="2"/>
  <c r="N103" i="2"/>
  <c r="W88" i="2"/>
  <c r="N88" i="2"/>
  <c r="W97" i="2"/>
  <c r="W6" i="2"/>
  <c r="W93" i="2"/>
  <c r="W95" i="2"/>
  <c r="W118" i="2"/>
  <c r="W121" i="2"/>
  <c r="W33" i="2"/>
  <c r="W109" i="2"/>
  <c r="W111" i="2"/>
  <c r="W47" i="2"/>
  <c r="W34" i="2"/>
  <c r="W94" i="2"/>
  <c r="W96" i="2"/>
  <c r="W7" i="2"/>
  <c r="W25" i="2"/>
  <c r="W26" i="2"/>
  <c r="W28" i="2"/>
  <c r="W46" i="2"/>
  <c r="W27" i="2"/>
  <c r="W35" i="2"/>
  <c r="W51" i="2"/>
  <c r="W123" i="2"/>
  <c r="I102" i="2"/>
  <c r="O102" i="2" s="1"/>
  <c r="W20" i="2"/>
  <c r="I92" i="2"/>
  <c r="O92" i="2" s="1"/>
  <c r="CS80" i="1" l="1"/>
  <c r="I51" i="2"/>
  <c r="O51" i="2" s="1"/>
  <c r="CS102" i="1"/>
  <c r="CU81" i="1"/>
  <c r="CS81" i="1"/>
  <c r="K81" i="1"/>
  <c r="CT81" i="1" s="1"/>
  <c r="CU80" i="1"/>
  <c r="K80" i="1"/>
  <c r="CT80" i="1" s="1"/>
  <c r="CH79" i="1"/>
  <c r="BW79" i="1"/>
  <c r="BL79" i="1"/>
  <c r="BA79" i="1"/>
  <c r="AP79" i="1"/>
  <c r="AE79" i="1"/>
  <c r="T79" i="1"/>
  <c r="G79" i="1"/>
  <c r="CS78" i="1"/>
  <c r="CJ78" i="1"/>
  <c r="CP78" i="1" s="1"/>
  <c r="BY78" i="1"/>
  <c r="CG78" i="1" s="1"/>
  <c r="BN78" i="1"/>
  <c r="BT78" i="1" s="1"/>
  <c r="BC78" i="1"/>
  <c r="BK78" i="1" s="1"/>
  <c r="AR78" i="1"/>
  <c r="AX78" i="1" s="1"/>
  <c r="AG78" i="1"/>
  <c r="AO78" i="1" s="1"/>
  <c r="V78" i="1"/>
  <c r="AB78" i="1" s="1"/>
  <c r="K78" i="1"/>
  <c r="S78" i="1" s="1"/>
  <c r="CS76" i="1"/>
  <c r="CS74" i="1"/>
  <c r="F56" i="1"/>
  <c r="CS56" i="1" s="1"/>
  <c r="CS48" i="1"/>
  <c r="F33" i="1"/>
  <c r="V33" i="1" s="1"/>
  <c r="AB33" i="1" s="1"/>
  <c r="CU32" i="1"/>
  <c r="F16" i="1"/>
  <c r="BN16" i="1" s="1"/>
  <c r="I52" i="2"/>
  <c r="O52" i="2" s="1"/>
  <c r="CS13" i="1"/>
  <c r="I20" i="2"/>
  <c r="O20" i="2" s="1"/>
  <c r="F9" i="1"/>
  <c r="CS9" i="1" s="1"/>
  <c r="CS8" i="1"/>
  <c r="CJ8" i="1"/>
  <c r="CR8" i="1" s="1"/>
  <c r="BY8" i="1"/>
  <c r="CG8" i="1" s="1"/>
  <c r="BN8" i="1"/>
  <c r="BV8" i="1" s="1"/>
  <c r="BC8" i="1"/>
  <c r="BE8" i="1" s="1"/>
  <c r="AR8" i="1"/>
  <c r="AZ8" i="1" s="1"/>
  <c r="AG8" i="1"/>
  <c r="AO8" i="1" s="1"/>
  <c r="V8" i="1"/>
  <c r="AD8" i="1" s="1"/>
  <c r="K8" i="1"/>
  <c r="F4" i="1"/>
  <c r="CS4" i="1" s="1"/>
  <c r="CE78" i="1" l="1"/>
  <c r="K9" i="1"/>
  <c r="Q9" i="1" s="1"/>
  <c r="CS38" i="1"/>
  <c r="CS27" i="1"/>
  <c r="CS42" i="1"/>
  <c r="CS26" i="1"/>
  <c r="CN8" i="1"/>
  <c r="I6" i="2"/>
  <c r="O6" i="2" s="1"/>
  <c r="CS75" i="1"/>
  <c r="I111" i="2"/>
  <c r="O111" i="2" s="1"/>
  <c r="AX8" i="1"/>
  <c r="CA8" i="1"/>
  <c r="I7" i="2"/>
  <c r="O7" i="2" s="1"/>
  <c r="BI78" i="1"/>
  <c r="I45" i="2"/>
  <c r="O45" i="2" s="1"/>
  <c r="CS6" i="1"/>
  <c r="I88" i="2"/>
  <c r="O88" i="2" s="1"/>
  <c r="CT8" i="1"/>
  <c r="CP8" i="1"/>
  <c r="CS15" i="1"/>
  <c r="I50" i="2"/>
  <c r="O50" i="2" s="1"/>
  <c r="AR33" i="1"/>
  <c r="AV33" i="1" s="1"/>
  <c r="Q78" i="1"/>
  <c r="BE78" i="1"/>
  <c r="CR78" i="1"/>
  <c r="BY4" i="1"/>
  <c r="CG4" i="1" s="1"/>
  <c r="Z8" i="1"/>
  <c r="AV8" i="1"/>
  <c r="CS11" i="1"/>
  <c r="I87" i="2"/>
  <c r="O87" i="2" s="1"/>
  <c r="I126" i="2"/>
  <c r="O126" i="2" s="1"/>
  <c r="AR16" i="1"/>
  <c r="AZ16" i="1" s="1"/>
  <c r="BG78" i="1"/>
  <c r="CC78" i="1"/>
  <c r="CV81" i="1"/>
  <c r="I103" i="2"/>
  <c r="O103" i="2" s="1"/>
  <c r="AB8" i="1"/>
  <c r="S8" i="1"/>
  <c r="CS52" i="1"/>
  <c r="AG4" i="1"/>
  <c r="AO4" i="1" s="1"/>
  <c r="CS12" i="1"/>
  <c r="AG16" i="1"/>
  <c r="AK16" i="1" s="1"/>
  <c r="CJ16" i="1"/>
  <c r="BN56" i="1"/>
  <c r="BP56" i="1" s="1"/>
  <c r="O78" i="1"/>
  <c r="AD78" i="1"/>
  <c r="AM78" i="1"/>
  <c r="CA78" i="1"/>
  <c r="CV80" i="1"/>
  <c r="BR8" i="1"/>
  <c r="AI78" i="1"/>
  <c r="BV78" i="1"/>
  <c r="BT8" i="1"/>
  <c r="BY16" i="1"/>
  <c r="CC16" i="1" s="1"/>
  <c r="V56" i="1"/>
  <c r="AB56" i="1" s="1"/>
  <c r="M78" i="1"/>
  <c r="AK78" i="1"/>
  <c r="AZ78" i="1"/>
  <c r="BV16" i="1"/>
  <c r="BT16" i="1"/>
  <c r="BR16" i="1"/>
  <c r="CS60" i="1"/>
  <c r="CS7" i="1"/>
  <c r="K16" i="1"/>
  <c r="Q16" i="1" s="1"/>
  <c r="BC16" i="1"/>
  <c r="BK16" i="1" s="1"/>
  <c r="CS16" i="1"/>
  <c r="BN33" i="1"/>
  <c r="BP33" i="1" s="1"/>
  <c r="CS34" i="1"/>
  <c r="CS17" i="1"/>
  <c r="CS41" i="1"/>
  <c r="V16" i="1"/>
  <c r="AT33" i="1"/>
  <c r="AR56" i="1"/>
  <c r="CJ56" i="1"/>
  <c r="BG8" i="1"/>
  <c r="BI8" i="1"/>
  <c r="CJ9" i="1"/>
  <c r="BN9" i="1"/>
  <c r="AR9" i="1"/>
  <c r="V9" i="1"/>
  <c r="CS14" i="1"/>
  <c r="CS31" i="1"/>
  <c r="CS50" i="1"/>
  <c r="CC8" i="1"/>
  <c r="CE8" i="1"/>
  <c r="CS24" i="1"/>
  <c r="Z33" i="1"/>
  <c r="AD33" i="1"/>
  <c r="X33" i="1"/>
  <c r="AG9" i="1"/>
  <c r="K4" i="1"/>
  <c r="BC4" i="1"/>
  <c r="M8" i="1"/>
  <c r="BC9" i="1"/>
  <c r="CS5" i="1"/>
  <c r="AK8" i="1"/>
  <c r="AM8" i="1"/>
  <c r="CJ4" i="1"/>
  <c r="BN4" i="1"/>
  <c r="AR4" i="1"/>
  <c r="V4" i="1"/>
  <c r="O8" i="1"/>
  <c r="Q8" i="1"/>
  <c r="CS10" i="1"/>
  <c r="CS37" i="1"/>
  <c r="CS39" i="1"/>
  <c r="CS44" i="1"/>
  <c r="CS46" i="1"/>
  <c r="CT7" i="1"/>
  <c r="AI8" i="1"/>
  <c r="BK8" i="1"/>
  <c r="BY9" i="1"/>
  <c r="CS35" i="1"/>
  <c r="CS51" i="1"/>
  <c r="CS62" i="1"/>
  <c r="X8" i="1"/>
  <c r="AT8" i="1"/>
  <c r="BP8" i="1"/>
  <c r="CL8" i="1"/>
  <c r="BP16" i="1"/>
  <c r="CS29" i="1"/>
  <c r="CS33" i="1"/>
  <c r="BY33" i="1"/>
  <c r="BC33" i="1"/>
  <c r="AG33" i="1"/>
  <c r="K33" i="1"/>
  <c r="CS95" i="1"/>
  <c r="CJ33" i="1"/>
  <c r="CS93" i="1"/>
  <c r="CS94" i="1"/>
  <c r="CS98" i="1"/>
  <c r="CS57" i="1"/>
  <c r="CS84" i="1"/>
  <c r="CS100" i="1"/>
  <c r="CS101" i="1"/>
  <c r="CL56" i="1"/>
  <c r="CS103" i="1"/>
  <c r="CS77" i="1"/>
  <c r="K56" i="1"/>
  <c r="AG56" i="1"/>
  <c r="BC56" i="1"/>
  <c r="BY56" i="1"/>
  <c r="X78" i="1"/>
  <c r="Z78" i="1"/>
  <c r="AT78" i="1"/>
  <c r="AV78" i="1"/>
  <c r="BP78" i="1"/>
  <c r="BR78" i="1"/>
  <c r="CL78" i="1"/>
  <c r="CN78" i="1"/>
  <c r="CT78" i="1"/>
  <c r="AX33" i="1" l="1"/>
  <c r="AZ33" i="1"/>
  <c r="Z56" i="1"/>
  <c r="CA4" i="1"/>
  <c r="BV56" i="1"/>
  <c r="S16" i="1"/>
  <c r="AI4" i="1"/>
  <c r="CE4" i="1"/>
  <c r="AT16" i="1"/>
  <c r="CC4" i="1"/>
  <c r="AO16" i="1"/>
  <c r="AM16" i="1"/>
  <c r="CG16" i="1"/>
  <c r="BR56" i="1"/>
  <c r="CE16" i="1"/>
  <c r="CA16" i="1"/>
  <c r="AD56" i="1"/>
  <c r="M9" i="1"/>
  <c r="S9" i="1"/>
  <c r="O9" i="1"/>
  <c r="AV16" i="1"/>
  <c r="AX16" i="1"/>
  <c r="AI16" i="1"/>
  <c r="CT75" i="1"/>
  <c r="CR16" i="1"/>
  <c r="CN16" i="1"/>
  <c r="X56" i="1"/>
  <c r="BT56" i="1"/>
  <c r="AM4" i="1"/>
  <c r="BV33" i="1"/>
  <c r="CU78" i="1"/>
  <c r="CV78" i="1" s="1"/>
  <c r="CL16" i="1"/>
  <c r="BR33" i="1"/>
  <c r="AK4" i="1"/>
  <c r="CP16" i="1"/>
  <c r="CT60" i="1"/>
  <c r="AX56" i="1"/>
  <c r="AZ56" i="1"/>
  <c r="AD16" i="1"/>
  <c r="Z16" i="1"/>
  <c r="AB16" i="1"/>
  <c r="CR56" i="1"/>
  <c r="CP56" i="1"/>
  <c r="O16" i="1"/>
  <c r="CT16" i="1"/>
  <c r="M16" i="1"/>
  <c r="CN56" i="1"/>
  <c r="AT56" i="1"/>
  <c r="X16" i="1"/>
  <c r="BT33" i="1"/>
  <c r="BG16" i="1"/>
  <c r="BE16" i="1"/>
  <c r="CT12" i="1"/>
  <c r="AV56" i="1"/>
  <c r="BI16" i="1"/>
  <c r="CT52" i="1"/>
  <c r="BI56" i="1"/>
  <c r="BK56" i="1"/>
  <c r="BE56" i="1"/>
  <c r="BG56" i="1"/>
  <c r="CT95" i="1"/>
  <c r="CT100" i="1"/>
  <c r="BK33" i="1"/>
  <c r="BG33" i="1"/>
  <c r="BI33" i="1"/>
  <c r="BE33" i="1"/>
  <c r="CS53" i="1"/>
  <c r="CT26" i="1"/>
  <c r="CT17" i="1"/>
  <c r="CT15" i="1"/>
  <c r="CT76" i="1"/>
  <c r="CA9" i="1"/>
  <c r="CC9" i="1"/>
  <c r="CE9" i="1"/>
  <c r="CG9" i="1"/>
  <c r="AX4" i="1"/>
  <c r="AZ4" i="1"/>
  <c r="AT4" i="1"/>
  <c r="AV4" i="1"/>
  <c r="BE4" i="1"/>
  <c r="BG4" i="1"/>
  <c r="BI4" i="1"/>
  <c r="BK4" i="1"/>
  <c r="CT24" i="1"/>
  <c r="CS40" i="1"/>
  <c r="AX9" i="1"/>
  <c r="AT9" i="1"/>
  <c r="AZ9" i="1"/>
  <c r="AV9" i="1"/>
  <c r="CS25" i="1"/>
  <c r="CE56" i="1"/>
  <c r="CG56" i="1"/>
  <c r="CA56" i="1"/>
  <c r="CC56" i="1"/>
  <c r="CT77" i="1"/>
  <c r="CT103" i="1"/>
  <c r="CT101" i="1"/>
  <c r="CS36" i="1"/>
  <c r="AO33" i="1"/>
  <c r="AM33" i="1"/>
  <c r="AI33" i="1"/>
  <c r="AK33" i="1"/>
  <c r="CT11" i="1"/>
  <c r="CT6" i="1"/>
  <c r="CT44" i="1"/>
  <c r="AB4" i="1"/>
  <c r="AD4" i="1"/>
  <c r="X4" i="1"/>
  <c r="Z4" i="1"/>
  <c r="BE9" i="1"/>
  <c r="BI9" i="1"/>
  <c r="BG9" i="1"/>
  <c r="BK9" i="1"/>
  <c r="AI9" i="1"/>
  <c r="AK9" i="1"/>
  <c r="AM9" i="1"/>
  <c r="AO9" i="1"/>
  <c r="CT31" i="1"/>
  <c r="AB9" i="1"/>
  <c r="AD9" i="1"/>
  <c r="X9" i="1"/>
  <c r="Z9" i="1"/>
  <c r="CS83" i="1"/>
  <c r="CT74" i="1"/>
  <c r="Q56" i="1"/>
  <c r="S56" i="1"/>
  <c r="CT56" i="1"/>
  <c r="M56" i="1"/>
  <c r="O56" i="1"/>
  <c r="CT57" i="1"/>
  <c r="CS97" i="1"/>
  <c r="CS49" i="1"/>
  <c r="CS99" i="1"/>
  <c r="S33" i="1"/>
  <c r="CT33" i="1"/>
  <c r="M33" i="1"/>
  <c r="O33" i="1"/>
  <c r="Q33" i="1"/>
  <c r="CT62" i="1"/>
  <c r="CT46" i="1"/>
  <c r="CP4" i="1"/>
  <c r="CR4" i="1"/>
  <c r="CL4" i="1"/>
  <c r="CN4" i="1"/>
  <c r="CT5" i="1"/>
  <c r="CT38" i="1"/>
  <c r="CS20" i="1"/>
  <c r="CT14" i="1"/>
  <c r="CP9" i="1"/>
  <c r="CL9" i="1"/>
  <c r="CR9" i="1"/>
  <c r="CN9" i="1"/>
  <c r="CS18" i="1"/>
  <c r="CT9" i="1"/>
  <c r="CT51" i="1"/>
  <c r="CT35" i="1"/>
  <c r="CT39" i="1"/>
  <c r="CT10" i="1"/>
  <c r="CT102" i="1"/>
  <c r="CS96" i="1"/>
  <c r="CT93" i="1"/>
  <c r="AM56" i="1"/>
  <c r="AO56" i="1"/>
  <c r="AI56" i="1"/>
  <c r="AK56" i="1"/>
  <c r="CT84" i="1"/>
  <c r="CT98" i="1"/>
  <c r="CS54" i="1"/>
  <c r="CT94" i="1"/>
  <c r="CN33" i="1"/>
  <c r="CP33" i="1"/>
  <c r="CL33" i="1"/>
  <c r="CR33" i="1"/>
  <c r="CT48" i="1"/>
  <c r="CG33" i="1"/>
  <c r="CA33" i="1"/>
  <c r="CC33" i="1"/>
  <c r="CE33" i="1"/>
  <c r="CT29" i="1"/>
  <c r="CT42" i="1"/>
  <c r="CS23" i="1"/>
  <c r="CT41" i="1"/>
  <c r="CT34" i="1"/>
  <c r="CT27" i="1"/>
  <c r="CT37" i="1"/>
  <c r="BT4" i="1"/>
  <c r="BV4" i="1"/>
  <c r="BP4" i="1"/>
  <c r="BR4" i="1"/>
  <c r="CT4" i="1"/>
  <c r="M4" i="1"/>
  <c r="O4" i="1"/>
  <c r="Q4" i="1"/>
  <c r="S4" i="1"/>
  <c r="CT50" i="1"/>
  <c r="BT9" i="1"/>
  <c r="BV9" i="1"/>
  <c r="BP9" i="1"/>
  <c r="BR9" i="1"/>
  <c r="CS58" i="1"/>
  <c r="CU8" i="1"/>
  <c r="CV8" i="1" s="1"/>
  <c r="CT13" i="1"/>
  <c r="CU75" i="1" l="1"/>
  <c r="CV75" i="1" s="1"/>
  <c r="H104" i="2"/>
  <c r="N104" i="2" s="1"/>
  <c r="H101" i="2"/>
  <c r="K1" i="2"/>
  <c r="H5" i="2"/>
  <c r="H90" i="2"/>
  <c r="H4" i="2"/>
  <c r="H106" i="2"/>
  <c r="H128" i="2"/>
  <c r="H100" i="2"/>
  <c r="H129" i="2"/>
  <c r="H91" i="2"/>
  <c r="CU7" i="1"/>
  <c r="CV7" i="1" s="1"/>
  <c r="CU34" i="1"/>
  <c r="CV34" i="1" s="1"/>
  <c r="CU60" i="1"/>
  <c r="CV60" i="1" s="1"/>
  <c r="CU16" i="1"/>
  <c r="CV16" i="1" s="1"/>
  <c r="CU52" i="1"/>
  <c r="CV52" i="1" s="1"/>
  <c r="CU12" i="1"/>
  <c r="CV12" i="1" s="1"/>
  <c r="CU76" i="1"/>
  <c r="CV76" i="1" s="1"/>
  <c r="CU48" i="1"/>
  <c r="CV48" i="1" s="1"/>
  <c r="CU102" i="1"/>
  <c r="CV102" i="1" s="1"/>
  <c r="CU9" i="1"/>
  <c r="CV9" i="1" s="1"/>
  <c r="CU41" i="1"/>
  <c r="CV41" i="1" s="1"/>
  <c r="CU13" i="1"/>
  <c r="CV13" i="1" s="1"/>
  <c r="CU17" i="1"/>
  <c r="CV17" i="1" s="1"/>
  <c r="CU27" i="1"/>
  <c r="CV27" i="1" s="1"/>
  <c r="CS22" i="1"/>
  <c r="CT49" i="1"/>
  <c r="CS21" i="1"/>
  <c r="CU4" i="1"/>
  <c r="CV4" i="1" s="1"/>
  <c r="CT23" i="1"/>
  <c r="CT54" i="1"/>
  <c r="CT97" i="1"/>
  <c r="CT83" i="1"/>
  <c r="CT36" i="1"/>
  <c r="CT25" i="1"/>
  <c r="CT53" i="1"/>
  <c r="CU46" i="1"/>
  <c r="CV46" i="1" s="1"/>
  <c r="CU11" i="1"/>
  <c r="CV11" i="1" s="1"/>
  <c r="CU24" i="1"/>
  <c r="CV24" i="1" s="1"/>
  <c r="CU15" i="1"/>
  <c r="CV15" i="1" s="1"/>
  <c r="CU95" i="1"/>
  <c r="CV95" i="1" s="1"/>
  <c r="CU94" i="1"/>
  <c r="CV94" i="1" s="1"/>
  <c r="CU14" i="1"/>
  <c r="CV14" i="1" s="1"/>
  <c r="CU33" i="1"/>
  <c r="CV33" i="1" s="1"/>
  <c r="CU56" i="1"/>
  <c r="CV56" i="1" s="1"/>
  <c r="CU103" i="1"/>
  <c r="CV103" i="1" s="1"/>
  <c r="CU37" i="1"/>
  <c r="CV37" i="1" s="1"/>
  <c r="CU42" i="1"/>
  <c r="CV42" i="1" s="1"/>
  <c r="CU39" i="1"/>
  <c r="CV39" i="1" s="1"/>
  <c r="CU98" i="1"/>
  <c r="CV98" i="1" s="1"/>
  <c r="CU84" i="1"/>
  <c r="CV84" i="1" s="1"/>
  <c r="CU93" i="1"/>
  <c r="CV93" i="1" s="1"/>
  <c r="CU10" i="1"/>
  <c r="CV10" i="1" s="1"/>
  <c r="CU38" i="1"/>
  <c r="CV38" i="1" s="1"/>
  <c r="CU62" i="1"/>
  <c r="CV62" i="1" s="1"/>
  <c r="CU74" i="1"/>
  <c r="CV74" i="1" s="1"/>
  <c r="CU31" i="1"/>
  <c r="CV31" i="1" s="1"/>
  <c r="CU44" i="1"/>
  <c r="CV44" i="1" s="1"/>
  <c r="CU100" i="1"/>
  <c r="CV100" i="1" s="1"/>
  <c r="CS19" i="1"/>
  <c r="F79" i="1"/>
  <c r="CT40" i="1"/>
  <c r="CT20" i="1"/>
  <c r="CT58" i="1"/>
  <c r="CT96" i="1"/>
  <c r="CT18" i="1"/>
  <c r="CT99" i="1"/>
  <c r="CT85" i="1"/>
  <c r="CU51" i="1"/>
  <c r="CV51" i="1" s="1"/>
  <c r="CU6" i="1"/>
  <c r="CV6" i="1" s="1"/>
  <c r="CU101" i="1"/>
  <c r="CV101" i="1" s="1"/>
  <c r="CU26" i="1"/>
  <c r="CV26" i="1" s="1"/>
  <c r="CU50" i="1"/>
  <c r="CV50" i="1" s="1"/>
  <c r="CU29" i="1"/>
  <c r="CV29" i="1" s="1"/>
  <c r="CU35" i="1"/>
  <c r="CV35" i="1" s="1"/>
  <c r="CU5" i="1"/>
  <c r="CV5" i="1" s="1"/>
  <c r="CU57" i="1"/>
  <c r="CV57" i="1" s="1"/>
  <c r="CU77" i="1"/>
  <c r="CV77" i="1" s="1"/>
  <c r="W106" i="2" l="1"/>
  <c r="N106" i="2"/>
  <c r="W129" i="2"/>
  <c r="N129" i="2"/>
  <c r="W4" i="2"/>
  <c r="N4" i="2"/>
  <c r="W101" i="2"/>
  <c r="N101" i="2"/>
  <c r="W91" i="2"/>
  <c r="N91" i="2"/>
  <c r="W100" i="2"/>
  <c r="N100" i="2"/>
  <c r="W90" i="2"/>
  <c r="N90" i="2"/>
  <c r="W128" i="2"/>
  <c r="N128" i="2"/>
  <c r="W5" i="2"/>
  <c r="N5" i="2"/>
  <c r="F85" i="1"/>
  <c r="I104" i="2"/>
  <c r="O104" i="2" s="1"/>
  <c r="W104" i="2"/>
  <c r="I91" i="2"/>
  <c r="O91" i="2" s="1"/>
  <c r="I129" i="2"/>
  <c r="O129" i="2" s="1"/>
  <c r="I5" i="2"/>
  <c r="O5" i="2" s="1"/>
  <c r="I101" i="2"/>
  <c r="O101" i="2" s="1"/>
  <c r="I106" i="2"/>
  <c r="O106" i="2" s="1"/>
  <c r="I4" i="2"/>
  <c r="O4" i="2" s="1"/>
  <c r="I100" i="2"/>
  <c r="O100" i="2" s="1"/>
  <c r="I90" i="2"/>
  <c r="O90" i="2" s="1"/>
  <c r="I128" i="2"/>
  <c r="O128" i="2" s="1"/>
  <c r="I1" i="2"/>
  <c r="CS79" i="1"/>
  <c r="CU99" i="1"/>
  <c r="CV99" i="1" s="1"/>
  <c r="CU58" i="1"/>
  <c r="CV58" i="1" s="1"/>
  <c r="CT21" i="1"/>
  <c r="BN79" i="1"/>
  <c r="CT19" i="1"/>
  <c r="K79" i="1"/>
  <c r="CU53" i="1"/>
  <c r="CV53" i="1" s="1"/>
  <c r="CU36" i="1"/>
  <c r="CV36" i="1" s="1"/>
  <c r="CU83" i="1"/>
  <c r="CV83" i="1" s="1"/>
  <c r="CU96" i="1"/>
  <c r="CV96" i="1" s="1"/>
  <c r="CU40" i="1"/>
  <c r="CV40" i="1" s="1"/>
  <c r="CU85" i="1"/>
  <c r="CJ79" i="1"/>
  <c r="BC79" i="1"/>
  <c r="CU18" i="1"/>
  <c r="CV18" i="1" s="1"/>
  <c r="CU20" i="1"/>
  <c r="CV20" i="1" s="1"/>
  <c r="BY79" i="1"/>
  <c r="CU25" i="1"/>
  <c r="CV25" i="1" s="1"/>
  <c r="AG79" i="1"/>
  <c r="V79" i="1"/>
  <c r="CT22" i="1"/>
  <c r="AR79" i="1"/>
  <c r="CU97" i="1"/>
  <c r="CV97" i="1" s="1"/>
  <c r="CU54" i="1"/>
  <c r="CV54" i="1" s="1"/>
  <c r="CU23" i="1"/>
  <c r="CV23" i="1" s="1"/>
  <c r="CU49" i="1"/>
  <c r="CV49" i="1" s="1"/>
  <c r="P1" i="2" l="1"/>
  <c r="O1" i="2" s="1"/>
  <c r="F88" i="1"/>
  <c r="CS85" i="1"/>
  <c r="CV85" i="1" s="1"/>
  <c r="AZ79" i="1"/>
  <c r="H1" i="2"/>
  <c r="BI79" i="1"/>
  <c r="AI79" i="1"/>
  <c r="CT79" i="1"/>
  <c r="Z79" i="1"/>
  <c r="CL79" i="1"/>
  <c r="CE79" i="1"/>
  <c r="CP79" i="1"/>
  <c r="AM79" i="1"/>
  <c r="AD79" i="1"/>
  <c r="S79" i="1"/>
  <c r="Q79" i="1"/>
  <c r="AK79" i="1"/>
  <c r="CG79" i="1"/>
  <c r="BR79" i="1"/>
  <c r="BT79" i="1"/>
  <c r="CA79" i="1"/>
  <c r="BG79" i="1"/>
  <c r="AT79" i="1"/>
  <c r="AO79" i="1"/>
  <c r="AB79" i="1"/>
  <c r="BK79" i="1"/>
  <c r="M79" i="1"/>
  <c r="AV79" i="1"/>
  <c r="AX79" i="1"/>
  <c r="X79" i="1"/>
  <c r="CR79" i="1"/>
  <c r="BV79" i="1"/>
  <c r="CC79" i="1"/>
  <c r="CU21" i="1"/>
  <c r="CV21" i="1" s="1"/>
  <c r="CU19" i="1"/>
  <c r="CV19" i="1" s="1"/>
  <c r="BE79" i="1"/>
  <c r="CU22" i="1"/>
  <c r="CV22" i="1" s="1"/>
  <c r="O79" i="1"/>
  <c r="BP79" i="1"/>
  <c r="CN79" i="1"/>
  <c r="CU79" i="1" l="1"/>
</calcChain>
</file>

<file path=xl/sharedStrings.xml><?xml version="1.0" encoding="utf-8"?>
<sst xmlns="http://schemas.openxmlformats.org/spreadsheetml/2006/main" count="2715" uniqueCount="268">
  <si>
    <t>Total</t>
  </si>
  <si>
    <t>308 Engineering</t>
  </si>
  <si>
    <t>310 Land and Land Rights</t>
  </si>
  <si>
    <t>311 Structure and Imporvements</t>
  </si>
  <si>
    <t>312 Boiler Plant Equipment</t>
  </si>
  <si>
    <t>314 Turbogenerator Units</t>
  </si>
  <si>
    <t>315 Accesory Electric Equipment</t>
  </si>
  <si>
    <t>316 Miscellaneous Power Plant Equipment</t>
  </si>
  <si>
    <t>343 Prime Movers</t>
  </si>
  <si>
    <t>Tasks</t>
  </si>
  <si>
    <t>Units</t>
  </si>
  <si>
    <t>Quantity</t>
  </si>
  <si>
    <t>Unit Cost</t>
  </si>
  <si>
    <t>Cost</t>
  </si>
  <si>
    <t>%</t>
  </si>
  <si>
    <t xml:space="preserve"> wenada
Total</t>
  </si>
  <si>
    <t>FERC 
Totals</t>
  </si>
  <si>
    <t>Unit Totals</t>
  </si>
  <si>
    <t>check</t>
  </si>
  <si>
    <t>Engineering, Design and Survey Work</t>
  </si>
  <si>
    <t>Design bulkhead for intake and discharge tunnel</t>
  </si>
  <si>
    <t>ls</t>
  </si>
  <si>
    <t>Perform environmental survey of above grade structures</t>
  </si>
  <si>
    <t>Storm Water Prevention Plan</t>
  </si>
  <si>
    <t>General</t>
  </si>
  <si>
    <t>Mob./Demob.</t>
  </si>
  <si>
    <t>Pavement Repairs</t>
  </si>
  <si>
    <t>sf</t>
  </si>
  <si>
    <t>Utility Disconnects</t>
  </si>
  <si>
    <t>Install Bulkhead in Intake &amp; Discharge Tunnel</t>
  </si>
  <si>
    <t>Install Electrical for Decommisioning Work</t>
  </si>
  <si>
    <t>Grade and Seeding</t>
  </si>
  <si>
    <t>Demo</t>
  </si>
  <si>
    <t>nt</t>
  </si>
  <si>
    <t>FE Sales</t>
  </si>
  <si>
    <t>AL Sales</t>
  </si>
  <si>
    <t>lbs</t>
  </si>
  <si>
    <t>CU Sales</t>
  </si>
  <si>
    <t>SS Sales</t>
  </si>
  <si>
    <t>Turbine Foundations Concrete</t>
  </si>
  <si>
    <t>cy</t>
  </si>
  <si>
    <t>Transport &amp;  Dispose of Combustibles</t>
  </si>
  <si>
    <t>ea</t>
  </si>
  <si>
    <t>Process and haul brick, block &amp; Concrete</t>
  </si>
  <si>
    <t>Backfill Basement</t>
  </si>
  <si>
    <t>Demo FE</t>
  </si>
  <si>
    <t>Fe Sales</t>
  </si>
  <si>
    <t>Ancillary Buildings</t>
  </si>
  <si>
    <t xml:space="preserve">Demo </t>
  </si>
  <si>
    <t>Sales</t>
  </si>
  <si>
    <t>Universal Wastes, Grease &amp; Oil Removal</t>
  </si>
  <si>
    <t>Dispose of Refractory in Subtitle D Landfill</t>
  </si>
  <si>
    <t>WBS</t>
  </si>
  <si>
    <t>COEL</t>
  </si>
  <si>
    <t>PLTCODE</t>
  </si>
  <si>
    <t>QTY</t>
  </si>
  <si>
    <t>UM</t>
  </si>
  <si>
    <t>RATE</t>
  </si>
  <si>
    <t>VALUE</t>
  </si>
  <si>
    <t>COMMENT</t>
  </si>
  <si>
    <t>MATERIALS</t>
  </si>
  <si>
    <t>CLASSIFICATION</t>
  </si>
  <si>
    <t>BUCKET</t>
  </si>
  <si>
    <t>3040000</t>
  </si>
  <si>
    <t/>
  </si>
  <si>
    <t>CONTINGENCY</t>
  </si>
  <si>
    <t>ECO</t>
  </si>
  <si>
    <t>SCS</t>
  </si>
  <si>
    <t>1LR</t>
  </si>
  <si>
    <t>2LR</t>
  </si>
  <si>
    <t>3LR</t>
  </si>
  <si>
    <t>4LR</t>
  </si>
  <si>
    <t>5LR</t>
  </si>
  <si>
    <t>C</t>
  </si>
  <si>
    <t>CLR</t>
  </si>
  <si>
    <t>NON</t>
  </si>
  <si>
    <t>ASB</t>
  </si>
  <si>
    <t>ASH</t>
  </si>
  <si>
    <t>3070041</t>
  </si>
  <si>
    <t>MY</t>
  </si>
  <si>
    <t>POWER GENERATION SUPERVISION</t>
  </si>
  <si>
    <t>3070201</t>
  </si>
  <si>
    <t>TEMPORARY CONSTRUCTION SERVICES</t>
  </si>
  <si>
    <t>3070201MO</t>
  </si>
  <si>
    <t>LT</t>
  </si>
  <si>
    <t>CONTRACTOR MOBILIZATION</t>
  </si>
  <si>
    <t>BDG</t>
  </si>
  <si>
    <t>3070221</t>
  </si>
  <si>
    <t>SECURITY SERVICES</t>
  </si>
  <si>
    <t>307UND</t>
  </si>
  <si>
    <t>3080241</t>
  </si>
  <si>
    <t>MH</t>
  </si>
  <si>
    <t>SCS ENGINEERING</t>
  </si>
  <si>
    <t>3080241SW</t>
  </si>
  <si>
    <t>APC ENGINEERING</t>
  </si>
  <si>
    <t>GPC ENGINEERING</t>
  </si>
  <si>
    <t>3080268</t>
  </si>
  <si>
    <t>PERMITS</t>
  </si>
  <si>
    <t>3080268EA</t>
  </si>
  <si>
    <t>3080361</t>
  </si>
  <si>
    <t>WRAP-UP AND ALL-RISK INSURANCE</t>
  </si>
  <si>
    <t>3090481</t>
  </si>
  <si>
    <t>ADMINISTRATIVE &amp; GENERAL OVERHEAD</t>
  </si>
  <si>
    <t>3110001LC</t>
  </si>
  <si>
    <t>MARKUP</t>
  </si>
  <si>
    <t>3110061</t>
  </si>
  <si>
    <t>AC</t>
  </si>
  <si>
    <t>Ash Disposal Pond</t>
  </si>
  <si>
    <t>3111002CN</t>
  </si>
  <si>
    <t>1LD</t>
  </si>
  <si>
    <t>Process, haul and backfill brick &amp; block</t>
  </si>
  <si>
    <t>2LD</t>
  </si>
  <si>
    <t>CLD</t>
  </si>
  <si>
    <t>311UND</t>
  </si>
  <si>
    <t>ANCILLARY BUILDINGS - Demo</t>
  </si>
  <si>
    <t>ANICILLARY BUILDINGS - Demo</t>
  </si>
  <si>
    <t>CMS</t>
  </si>
  <si>
    <t>ANCILLARY BUILDINGS - FE SALES</t>
  </si>
  <si>
    <t>STEEL</t>
  </si>
  <si>
    <t>Main Power Block - Backfill Basement</t>
  </si>
  <si>
    <t>Main Power Block - (4) Coal Silos</t>
  </si>
  <si>
    <t>Main Power Block - DEMO</t>
  </si>
  <si>
    <t>1MS</t>
  </si>
  <si>
    <t>Main Power Block - FE Sales</t>
  </si>
  <si>
    <t>2MS</t>
  </si>
  <si>
    <t>3120000AA</t>
  </si>
  <si>
    <t>TN</t>
  </si>
  <si>
    <t>SFTNSIDING (ASBESTOS)</t>
  </si>
  <si>
    <t>SF</t>
  </si>
  <si>
    <t>312UND</t>
  </si>
  <si>
    <t>Main Power Block - AL Sales</t>
  </si>
  <si>
    <t>ALUMINUM</t>
  </si>
  <si>
    <t>Main Power Block - CU Sales</t>
  </si>
  <si>
    <t>COPPER</t>
  </si>
  <si>
    <t>Main Power Block - SS Sales</t>
  </si>
  <si>
    <t>STAINLESS STEEL</t>
  </si>
  <si>
    <t>Precipitators - DEMO</t>
  </si>
  <si>
    <t>Precipitators - FE Sales</t>
  </si>
  <si>
    <t>314052102</t>
  </si>
  <si>
    <t>314UND</t>
  </si>
  <si>
    <t>Main Power Block - Turbine Foundations Concrete</t>
  </si>
  <si>
    <t>315UND</t>
  </si>
  <si>
    <t>Unit &amp; Service Transformers - CU Sales</t>
  </si>
  <si>
    <t>TRANSFORMER</t>
  </si>
  <si>
    <t>Unit &amp; Service Transformers - Demo</t>
  </si>
  <si>
    <t>Main Substation Transformers - Demo</t>
  </si>
  <si>
    <t>Unit &amp; Service Transformers - FE Sales</t>
  </si>
  <si>
    <t>341UND</t>
  </si>
  <si>
    <t>CTs - DEMO</t>
  </si>
  <si>
    <t>CTs - FE Sales</t>
  </si>
  <si>
    <t>3LD</t>
  </si>
  <si>
    <t>4LD</t>
  </si>
  <si>
    <t>5LD</t>
  </si>
  <si>
    <t>3430000FM</t>
  </si>
  <si>
    <t>343UND</t>
  </si>
  <si>
    <t>CTs - CU Sales</t>
  </si>
  <si>
    <t>344UND</t>
  </si>
  <si>
    <t>345UND</t>
  </si>
  <si>
    <t>CTs Transformers - CU Sales</t>
  </si>
  <si>
    <t>BARRY-ASB</t>
  </si>
  <si>
    <t>BARRY-ASH</t>
  </si>
  <si>
    <t>CCATDESC</t>
  </si>
  <si>
    <t>REMOVAL</t>
  </si>
  <si>
    <t>Unit &amp; Service Transformers- CU Sales</t>
  </si>
  <si>
    <t>CTs Transformers - Demo</t>
  </si>
  <si>
    <t>CTs Transformers - FE Sales</t>
  </si>
  <si>
    <t>SALVAGE</t>
  </si>
  <si>
    <t>DISPOSAL</t>
  </si>
  <si>
    <t>309</t>
  </si>
  <si>
    <t>311</t>
  </si>
  <si>
    <t>308</t>
  </si>
  <si>
    <t>304</t>
  </si>
  <si>
    <t>307</t>
  </si>
  <si>
    <t>343</t>
  </si>
  <si>
    <t>345</t>
  </si>
  <si>
    <t>341</t>
  </si>
  <si>
    <t>344</t>
  </si>
  <si>
    <t>312</t>
  </si>
  <si>
    <t>314</t>
  </si>
  <si>
    <t>315</t>
  </si>
  <si>
    <t>FERC</t>
  </si>
  <si>
    <t>UNIT</t>
  </si>
  <si>
    <t>2% of FERCs 310 and above less "Install Electrical for Decommisioning Work".</t>
  </si>
  <si>
    <t>Install Electrical for Decommissioning Work</t>
  </si>
  <si>
    <t>OWNER</t>
  </si>
  <si>
    <t>GULF</t>
  </si>
  <si>
    <t>OWNRSHP_PCT</t>
  </si>
  <si>
    <t xml:space="preserve">Unit 1 </t>
  </si>
  <si>
    <t>Unit 2</t>
  </si>
  <si>
    <t>Unit 3 CC</t>
  </si>
  <si>
    <t>Unit A CT</t>
  </si>
  <si>
    <t>Unit 1</t>
  </si>
  <si>
    <t>Condenser Tubes (90-10, CU Ni)</t>
  </si>
  <si>
    <t>Brick Stack</t>
  </si>
  <si>
    <t>Unit &amp; Service Transformers</t>
  </si>
  <si>
    <t>Unit 1 Precipitator</t>
  </si>
  <si>
    <t>Unit 2 Precipitator</t>
  </si>
  <si>
    <t>Unit 3 Combined Cycle Unit</t>
  </si>
  <si>
    <t>Unit A Combustion Turbine</t>
  </si>
  <si>
    <t xml:space="preserve">Unit </t>
  </si>
  <si>
    <t>Price</t>
  </si>
  <si>
    <t>* FE is based on the Aug. 7, 2015 Metal Prices Birmingham P&amp;S 5' &amp; under = $245 / GT</t>
  </si>
  <si>
    <t>* AL is based on Aug. 18, 2015 LME Cash Official = $0.69/lb</t>
  </si>
  <si>
    <t>* CU is baesd on Aug. 18, 2015 LME Cash Official =  $2.27/lb</t>
  </si>
  <si>
    <t>* SS is based on Aug. 17, 2015 LME 304 (18-8) Scrap Solids Processor = $0.50 / lb</t>
  </si>
  <si>
    <t>*305 SS - is based on Aug. 17, 2014 LME 304 (18-8) Scrap Solids Processor = $0.50 / lb</t>
  </si>
  <si>
    <t>* Transformers is based on Aug. 18, 2015 LME Cash official for CU = $2.27</t>
  </si>
  <si>
    <t>*Ti is based on Aug. 13, 2015 Secondary Market Tin Bearing &gt;85%  = $0.55 / lb</t>
  </si>
  <si>
    <t>* Ad Brass is based of Aug. 14, 2015 Secondary Market Yellow Brass = $1.66</t>
  </si>
  <si>
    <t>* 90-10 CU-NI is based on Aug. 18, 2015 Secondary Market Cupro-Nickel Scrap 90-10 = $2.07</t>
  </si>
  <si>
    <t>*304 SS - is based on Aug. 17, 2015 LME 304 (18-8) Scrap Solids Processor = $0.50 / lb</t>
  </si>
  <si>
    <t>Unit 4 Combustion Turbine Unit</t>
  </si>
  <si>
    <t>Main Power Block - Condenser Tubes (90-10, CU Ni)</t>
  </si>
  <si>
    <t>CUPRO-NICKEL</t>
  </si>
  <si>
    <t>3CC</t>
  </si>
  <si>
    <t>4CT</t>
  </si>
  <si>
    <t>Main Power Block - Brick Stack</t>
  </si>
  <si>
    <t>SMITH-ECO</t>
  </si>
  <si>
    <t>SMITH-NON</t>
  </si>
  <si>
    <t>3LDCC</t>
  </si>
  <si>
    <t>3LRCC</t>
  </si>
  <si>
    <t>3MSCC</t>
  </si>
  <si>
    <t>4LDCT</t>
  </si>
  <si>
    <t>4LRCT</t>
  </si>
  <si>
    <t>4MSCT</t>
  </si>
  <si>
    <t>INSULATION (ASBESTOS)</t>
  </si>
  <si>
    <t>SMITH-ASB</t>
  </si>
  <si>
    <t>06NOV15 Scrap Values</t>
  </si>
  <si>
    <t>August '15 Scrap values</t>
  </si>
  <si>
    <t>ADJ Unit</t>
  </si>
  <si>
    <t>Change</t>
  </si>
  <si>
    <t>Historical Links</t>
  </si>
  <si>
    <t>http://www.metalprices.com/historical/database/ferrous-scrap-price-index/fe-spi-5-plate-structural-birmingham</t>
  </si>
  <si>
    <t>LME</t>
  </si>
  <si>
    <t>http://www.metalprices.com/historical/database/aluminum/lme-aluminum-cash-official</t>
  </si>
  <si>
    <t>http://www.metalprices.com/historical/database/copper/lme-copper-cash-official</t>
  </si>
  <si>
    <t>http://www.metalprices.com/historical/database/stainless-steel/stainless-steel-304-s-p</t>
  </si>
  <si>
    <t>http://www.metalprices.com/metal/titanium/titanium-scrap-ferro-ti-quality-turnings-non-tin-bearing-gt-85-ti</t>
  </si>
  <si>
    <t>http://www.metalprices.com/historical/database/brass/brass-yellow-brass</t>
  </si>
  <si>
    <t>http://www.metalprices.com/metal/cupro-nickel/cupro-nickel-c706</t>
  </si>
  <si>
    <t>* FE is based on the 06NOV15, 2015 Metal Prices Birmingham P&amp;S 5' &amp; under = $168 / GT</t>
  </si>
  <si>
    <t>* AL is based on 06NOV15, 2015 LME Cash Official = $0.67/lb</t>
  </si>
  <si>
    <t>* CU is based on 06NOV15, LME Cash Official =  $2.29/lb</t>
  </si>
  <si>
    <t>* SS is based on 06NOV15, LME 304 (18-8) Scrap Solids Processor = $0.44 / lb</t>
  </si>
  <si>
    <t>*305 SS - is based on 06NOV15, LME 304 (18-8) Scrap Solids Processor = $0.44 / lb</t>
  </si>
  <si>
    <t>* Transformers is based on 06NOV15, LME Cash Official =  $2.29/lb</t>
  </si>
  <si>
    <t>*Ti is based on 06NOV15, Secondary Market Tin Bearing &gt;85%  = $0.375 / lb</t>
  </si>
  <si>
    <t>* Ad Brass is based of 06NOV15, Secondary Market Yellow Brass = $1.61</t>
  </si>
  <si>
    <t>* 90-10 CU-NI is based on 06NOV15, Secondary Market Cupro-Nickel Scrap 90-10 = $1.99</t>
  </si>
  <si>
    <t>*304 SS - is based on 06NOV15, LME 304 (18-8) Scrap Solids Processor = $0.44 / lb</t>
  </si>
  <si>
    <t>31DEC16 Scrap Values</t>
  </si>
  <si>
    <t>2015 Costs</t>
  </si>
  <si>
    <t>Note: 2016 Salvage Values were escalated from 2015 based on % from Power Advocate.</t>
  </si>
  <si>
    <t>* Transformers is based on 31DEC15, LME Cash Official =  $2.29/lb</t>
  </si>
  <si>
    <t>Labor Escalation (4Q15 to 4Q16)</t>
  </si>
  <si>
    <t>* FE is based on the 31DEC15, 2015 Metal Prices Birmingham P&amp;S 5' &amp; under = $151.79 / GT and Escalated to 31DEC2016.</t>
  </si>
  <si>
    <t>* AL is based on 31DEC15, 2015 LME Cash Official = $0.68/lb and Escalated to 31DEC2016.</t>
  </si>
  <si>
    <t>* CU is based on 31DEC15, LME Cash Official =  $2.14/lb and Escalated to 31DEC2016.</t>
  </si>
  <si>
    <t>* SS is based on 31DEC15, LME 304 (18-8) Scrap Solids Processor = $0.38 / lb and Escalated to 31DEC2016.</t>
  </si>
  <si>
    <t>*305 SS - is based on 31DEC15, LME 304 (18-8) Scrap Solids Processor = $0.38 / lb and Escalated to 31DEC2016.</t>
  </si>
  <si>
    <t>*Ti is based on 31DEC15, Secondary Market Tin Bearing &gt;85%  = $0..25/ lb and Escalated to 31DEC2016.</t>
  </si>
  <si>
    <t>* Ad Brass is based of 31DEC15, Secondary Market Yellow Brass = $1.51 and Escalated to 31DEC2016.</t>
  </si>
  <si>
    <t>* 90-10 CU-NI is based on 31DEC15, Secondary Market Cupro-Nickel Scrap 90-10 = $1.87 and Escalated to 31DEC2016.</t>
  </si>
  <si>
    <t>*304 SS - is based on 31DEC15, LME 304 (18-8) Scrap Solids Processor = $0.38 / lb and Escalated to 31DEC2016.</t>
  </si>
  <si>
    <t>cRATE2016</t>
  </si>
  <si>
    <t>cVALUE2016</t>
  </si>
  <si>
    <t>NOTES2016</t>
  </si>
  <si>
    <t>Scrap Market Values (MetalPrices.com) as projected to 31DEC16.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</si>
</sst>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;[Red]\-#,##0"/>
    <numFmt numFmtId="167" formatCode="&quot;$&quot;#,##0;[Red]\-&quot;$&quot;#,##0"/>
    <numFmt numFmtId="168" formatCode="&quot;$&quot;#,##0;[Red]&quot;$&quot;#,##0"/>
    <numFmt numFmtId="169" formatCode="#,##0;[Red]#,##0"/>
    <numFmt numFmtId="170" formatCode="_(* #,##0_);_(* \(#,##0\);_(* &quot;-&quot;??_);_(@_)"/>
    <numFmt numFmtId="171" formatCode="_(* #,##0.0_);_(* \(#,##0.0\);_(* &quot;-&quot;??_);_(@_)"/>
    <numFmt numFmtId="172" formatCode="_(&quot;$&quot;* #,##0.0000_);_(&quot;$&quot;* \(#,##0.0000\);_(&quot;$&quot;* &quot;-&quot;??_);_(@_)"/>
    <numFmt numFmtId="173" formatCode="0.000%"/>
    <numFmt numFmtId="174" formatCode="#,##0.0000_);[Red]\(#,##0.0000\)"/>
    <numFmt numFmtId="175" formatCode="#,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55">
    <xf numFmtId="0" fontId="0" fillId="0" borderId="0"/>
    <xf numFmtId="166" fontId="4" fillId="0" borderId="9">
      <alignment horizontal="right" vertical="top" wrapText="1"/>
    </xf>
    <xf numFmtId="166" fontId="4" fillId="4" borderId="9">
      <alignment horizontal="right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5" borderId="9">
      <alignment horizontal="right" vertical="top" wrapText="1"/>
    </xf>
    <xf numFmtId="167" fontId="4" fillId="0" borderId="9">
      <alignment horizontal="right" vertical="top" wrapText="1"/>
    </xf>
    <xf numFmtId="167" fontId="4" fillId="0" borderId="7">
      <alignment vertical="top"/>
      <protection locked="0"/>
    </xf>
    <xf numFmtId="44" fontId="1" fillId="0" borderId="0" applyFont="0" applyFill="0" applyBorder="0" applyAlignment="0" applyProtection="0"/>
    <xf numFmtId="8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4" fillId="0" borderId="7">
      <alignment vertical="top"/>
      <protection locked="0"/>
    </xf>
    <xf numFmtId="166" fontId="4" fillId="6" borderId="7">
      <alignment vertical="top"/>
      <protection locked="0"/>
    </xf>
    <xf numFmtId="166" fontId="4" fillId="0" borderId="9">
      <alignment vertical="top"/>
    </xf>
    <xf numFmtId="166" fontId="4" fillId="7" borderId="9">
      <alignment vertical="top"/>
    </xf>
    <xf numFmtId="166" fontId="4" fillId="0" borderId="9">
      <alignment vertical="top"/>
    </xf>
    <xf numFmtId="166" fontId="4" fillId="0" borderId="7">
      <alignment vertical="top" wrapText="1"/>
      <protection locked="0"/>
    </xf>
    <xf numFmtId="0" fontId="1" fillId="0" borderId="0"/>
    <xf numFmtId="0" fontId="1" fillId="0" borderId="0"/>
    <xf numFmtId="0" fontId="7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6" fontId="8" fillId="0" borderId="0">
      <alignment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8" fontId="8" fillId="8" borderId="10">
      <alignment horizontal="right"/>
      <protection locked="0"/>
    </xf>
    <xf numFmtId="169" fontId="4" fillId="9" borderId="9">
      <alignment horizontal="right" vertical="top" wrapText="1"/>
    </xf>
    <xf numFmtId="169" fontId="4" fillId="0" borderId="9">
      <alignment horizontal="right" vertical="top" wrapText="1"/>
    </xf>
    <xf numFmtId="166" fontId="4" fillId="0" borderId="7">
      <alignment vertical="top"/>
      <protection locked="0"/>
    </xf>
    <xf numFmtId="167" fontId="4" fillId="10" borderId="9">
      <alignment horizontal="right" vertical="top" wrapText="1"/>
    </xf>
    <xf numFmtId="167" fontId="4" fillId="0" borderId="9">
      <alignment horizontal="right" vertical="top" wrapText="1"/>
    </xf>
    <xf numFmtId="167" fontId="4" fillId="0" borderId="7">
      <alignment vertical="top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" fillId="2" borderId="0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0" fillId="0" borderId="2" xfId="0" applyBorder="1"/>
    <xf numFmtId="6" fontId="0" fillId="0" borderId="0" xfId="0" applyNumberFormat="1" applyAlignment="1">
      <alignment horizontal="right"/>
    </xf>
    <xf numFmtId="0" fontId="0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2" fillId="0" borderId="4" xfId="0" quotePrefix="1" applyFon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6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3" fontId="2" fillId="0" borderId="7" xfId="0" applyNumberFormat="1" applyFont="1" applyBorder="1" applyAlignment="1" applyProtection="1">
      <alignment horizontal="center" wrapText="1"/>
      <protection locked="0"/>
    </xf>
    <xf numFmtId="164" fontId="2" fillId="0" borderId="7" xfId="0" applyNumberFormat="1" applyFont="1" applyBorder="1" applyAlignment="1" applyProtection="1">
      <alignment horizontal="center" wrapText="1"/>
      <protection locked="0"/>
    </xf>
    <xf numFmtId="6" fontId="2" fillId="0" borderId="7" xfId="0" applyNumberFormat="1" applyFont="1" applyBorder="1" applyAlignment="1" applyProtection="1">
      <alignment horizontal="center" wrapText="1"/>
      <protection locked="0"/>
    </xf>
    <xf numFmtId="6" fontId="2" fillId="2" borderId="3" xfId="0" applyNumberFormat="1" applyFont="1" applyFill="1" applyBorder="1" applyAlignment="1" applyProtection="1">
      <alignment horizontal="center" wrapText="1"/>
      <protection locked="0"/>
    </xf>
    <xf numFmtId="9" fontId="2" fillId="0" borderId="3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9" fontId="2" fillId="0" borderId="3" xfId="0" applyNumberFormat="1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6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3" fontId="0" fillId="0" borderId="9" xfId="0" applyNumberFormat="1" applyFont="1" applyBorder="1" applyAlignment="1" applyProtection="1">
      <alignment horizontal="right" wrapText="1"/>
      <protection locked="0"/>
    </xf>
    <xf numFmtId="164" fontId="0" fillId="0" borderId="9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Protection="1">
      <protection locked="0"/>
    </xf>
    <xf numFmtId="6" fontId="0" fillId="2" borderId="3" xfId="0" applyNumberFormat="1" applyFont="1" applyFill="1" applyBorder="1" applyAlignment="1" applyProtection="1">
      <alignment horizontal="right" wrapText="1"/>
      <protection locked="0"/>
    </xf>
    <xf numFmtId="9" fontId="0" fillId="0" borderId="3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Alignment="1" applyProtection="1">
      <alignment horizontal="center"/>
      <protection locked="0"/>
    </xf>
    <xf numFmtId="9" fontId="0" fillId="0" borderId="3" xfId="0" applyNumberFormat="1" applyFont="1" applyBorder="1" applyAlignment="1" applyProtection="1">
      <alignment horizontal="center" wrapText="1"/>
    </xf>
    <xf numFmtId="6" fontId="0" fillId="0" borderId="9" xfId="0" applyNumberFormat="1" applyFont="1" applyBorder="1" applyAlignment="1" applyProtection="1">
      <alignment horizontal="right"/>
      <protection locked="0"/>
    </xf>
    <xf numFmtId="6" fontId="0" fillId="2" borderId="3" xfId="0" applyNumberFormat="1" applyFont="1" applyFill="1" applyBorder="1" applyAlignment="1" applyProtection="1">
      <alignment horizontal="right"/>
      <protection locked="0"/>
    </xf>
    <xf numFmtId="6" fontId="2" fillId="0" borderId="0" xfId="0" applyNumberFormat="1" applyFont="1" applyAlignment="1" applyProtection="1">
      <alignment horizontal="right" wrapText="1"/>
      <protection locked="0"/>
    </xf>
    <xf numFmtId="0" fontId="0" fillId="0" borderId="9" xfId="0" applyBorder="1" applyAlignment="1" applyProtection="1">
      <alignment horizontal="center"/>
      <protection locked="0"/>
    </xf>
    <xf numFmtId="3" fontId="0" fillId="0" borderId="9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8" fontId="0" fillId="0" borderId="9" xfId="0" applyNumberFormat="1" applyFont="1" applyBorder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165" fontId="0" fillId="0" borderId="9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9" fontId="0" fillId="0" borderId="3" xfId="0" applyNumberFormat="1" applyBorder="1" applyAlignment="1" applyProtection="1">
      <alignment horizontal="center" wrapText="1"/>
    </xf>
    <xf numFmtId="3" fontId="0" fillId="0" borderId="9" xfId="0" applyNumberFormat="1" applyFont="1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6" fontId="0" fillId="2" borderId="0" xfId="0" applyNumberFormat="1" applyFont="1" applyFill="1" applyBorder="1" applyAlignment="1" applyProtection="1">
      <alignment horizontal="right"/>
      <protection locked="0"/>
    </xf>
    <xf numFmtId="9" fontId="0" fillId="0" borderId="0" xfId="0" applyNumberFormat="1" applyFont="1" applyBorder="1" applyAlignment="1" applyProtection="1">
      <alignment horizontal="center" wrapText="1"/>
      <protection locked="0"/>
    </xf>
    <xf numFmtId="9" fontId="0" fillId="0" borderId="0" xfId="0" applyNumberFormat="1" applyFont="1" applyBorder="1" applyAlignment="1" applyProtection="1">
      <alignment horizontal="center" wrapText="1"/>
    </xf>
    <xf numFmtId="0" fontId="2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3" fontId="0" fillId="3" borderId="9" xfId="0" applyNumberFormat="1" applyFont="1" applyFill="1" applyBorder="1" applyAlignment="1" applyProtection="1">
      <alignment horizontal="right" wrapText="1"/>
      <protection locked="0"/>
    </xf>
    <xf numFmtId="164" fontId="0" fillId="3" borderId="9" xfId="0" applyNumberFormat="1" applyFont="1" applyFill="1" applyBorder="1" applyAlignment="1" applyProtection="1">
      <alignment horizontal="center" wrapText="1"/>
      <protection locked="0"/>
    </xf>
    <xf numFmtId="6" fontId="2" fillId="3" borderId="9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3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6" fontId="0" fillId="0" borderId="0" xfId="0" applyNumberFormat="1" applyFont="1" applyProtection="1">
      <protection locked="0"/>
    </xf>
    <xf numFmtId="6" fontId="0" fillId="2" borderId="0" xfId="0" applyNumberFormat="1" applyFont="1" applyFill="1" applyAlignment="1" applyProtection="1">
      <alignment horizontal="right"/>
      <protection locked="0"/>
    </xf>
    <xf numFmtId="9" fontId="0" fillId="0" borderId="0" xfId="0" applyNumberFormat="1" applyFont="1" applyFill="1" applyProtection="1">
      <protection locked="0"/>
    </xf>
    <xf numFmtId="9" fontId="0" fillId="0" borderId="0" xfId="0" applyNumberFormat="1" applyFont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3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Alignment="1" applyProtection="1">
      <alignment horizontal="center"/>
      <protection locked="0"/>
    </xf>
    <xf numFmtId="6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/>
    <xf numFmtId="0" fontId="0" fillId="0" borderId="0" xfId="0"/>
    <xf numFmtId="0" fontId="0" fillId="0" borderId="0" xfId="0"/>
    <xf numFmtId="8" fontId="0" fillId="0" borderId="0" xfId="0" applyNumberFormat="1"/>
    <xf numFmtId="44" fontId="0" fillId="0" borderId="0" xfId="50" applyFont="1"/>
    <xf numFmtId="6" fontId="0" fillId="0" borderId="0" xfId="0" applyNumberFormat="1"/>
    <xf numFmtId="0" fontId="9" fillId="11" borderId="7" xfId="0" applyFont="1" applyFill="1" applyBorder="1" applyAlignment="1" applyProtection="1">
      <alignment horizontal="center" vertical="center"/>
    </xf>
    <xf numFmtId="0" fontId="9" fillId="12" borderId="7" xfId="0" applyFont="1" applyFill="1" applyBorder="1" applyAlignment="1" applyProtection="1">
      <alignment horizontal="center" vertical="center"/>
    </xf>
    <xf numFmtId="0" fontId="9" fillId="11" borderId="0" xfId="0" applyFont="1" applyFill="1" applyBorder="1" applyAlignment="1" applyProtection="1">
      <alignment horizontal="center" vertical="center"/>
    </xf>
    <xf numFmtId="0" fontId="0" fillId="0" borderId="0" xfId="0" applyAlignment="1"/>
    <xf numFmtId="0" fontId="0" fillId="0" borderId="0" xfId="0" applyFill="1" applyBorder="1" applyAlignment="1"/>
    <xf numFmtId="0" fontId="10" fillId="0" borderId="11" xfId="0" applyFont="1" applyFill="1" applyBorder="1" applyAlignment="1" applyProtection="1">
      <alignment vertical="center"/>
    </xf>
    <xf numFmtId="0" fontId="10" fillId="3" borderId="11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44" fontId="10" fillId="0" borderId="11" xfId="0" applyNumberFormat="1" applyFont="1" applyFill="1" applyBorder="1" applyAlignment="1" applyProtection="1">
      <alignment horizontal="right" vertical="center"/>
    </xf>
    <xf numFmtId="170" fontId="10" fillId="0" borderId="11" xfId="49" applyNumberFormat="1" applyFont="1" applyFill="1" applyBorder="1" applyAlignment="1" applyProtection="1">
      <alignment horizontal="right" vertical="center"/>
    </xf>
    <xf numFmtId="0" fontId="10" fillId="3" borderId="11" xfId="0" applyFont="1" applyFill="1" applyBorder="1" applyAlignment="1" applyProtection="1">
      <alignment horizontal="right" vertical="center"/>
    </xf>
    <xf numFmtId="0" fontId="0" fillId="0" borderId="11" xfId="0" applyBorder="1" applyAlignment="1"/>
    <xf numFmtId="6" fontId="0" fillId="13" borderId="9" xfId="0" applyNumberFormat="1" applyFont="1" applyFill="1" applyBorder="1" applyProtection="1">
      <protection locked="0"/>
    </xf>
    <xf numFmtId="0" fontId="9" fillId="12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0" fillId="0" borderId="0" xfId="0"/>
    <xf numFmtId="171" fontId="10" fillId="0" borderId="11" xfId="49" applyNumberFormat="1" applyFont="1" applyFill="1" applyBorder="1" applyAlignment="1" applyProtection="1">
      <alignment horizontal="right" vertical="center"/>
    </xf>
    <xf numFmtId="0" fontId="0" fillId="14" borderId="0" xfId="0" applyFill="1" applyAlignment="1" applyProtection="1">
      <alignment horizontal="left"/>
      <protection locked="0"/>
    </xf>
    <xf numFmtId="0" fontId="0" fillId="14" borderId="9" xfId="0" applyFill="1" applyBorder="1" applyAlignment="1" applyProtection="1">
      <alignment horizontal="center"/>
      <protection locked="0"/>
    </xf>
    <xf numFmtId="3" fontId="0" fillId="14" borderId="9" xfId="0" applyNumberFormat="1" applyFont="1" applyFill="1" applyBorder="1" applyProtection="1">
      <protection locked="0"/>
    </xf>
    <xf numFmtId="6" fontId="0" fillId="0" borderId="9" xfId="0" applyNumberFormat="1" applyFont="1" applyFill="1" applyBorder="1" applyProtection="1">
      <protection locked="0"/>
    </xf>
    <xf numFmtId="0" fontId="0" fillId="0" borderId="11" xfId="0" applyBorder="1"/>
    <xf numFmtId="44" fontId="10" fillId="0" borderId="0" xfId="0" applyNumberFormat="1" applyFont="1" applyFill="1" applyBorder="1" applyAlignment="1" applyProtection="1">
      <alignment horizontal="right" vertical="center"/>
    </xf>
    <xf numFmtId="0" fontId="10" fillId="3" borderId="0" xfId="0" applyFont="1" applyFill="1" applyBorder="1" applyAlignment="1" applyProtection="1">
      <alignment horizontal="right" vertical="center"/>
    </xf>
    <xf numFmtId="0" fontId="10" fillId="14" borderId="11" xfId="0" applyFont="1" applyFill="1" applyBorder="1" applyAlignment="1" applyProtection="1">
      <alignment horizontal="right" vertical="center"/>
    </xf>
    <xf numFmtId="44" fontId="10" fillId="14" borderId="11" xfId="0" applyNumberFormat="1" applyFont="1" applyFill="1" applyBorder="1" applyAlignment="1" applyProtection="1">
      <alignment horizontal="right" vertical="center"/>
    </xf>
    <xf numFmtId="0" fontId="10" fillId="15" borderId="11" xfId="0" applyFont="1" applyFill="1" applyBorder="1" applyAlignment="1" applyProtection="1">
      <alignment vertical="center"/>
    </xf>
    <xf numFmtId="0" fontId="12" fillId="0" borderId="11" xfId="0" applyFont="1" applyFill="1" applyBorder="1" applyAlignment="1" applyProtection="1">
      <alignment vertical="center"/>
    </xf>
    <xf numFmtId="0" fontId="12" fillId="14" borderId="11" xfId="0" applyFont="1" applyFill="1" applyBorder="1" applyAlignment="1" applyProtection="1">
      <alignment vertical="center"/>
    </xf>
    <xf numFmtId="49" fontId="10" fillId="14" borderId="11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12" fillId="3" borderId="11" xfId="0" applyFont="1" applyFill="1" applyBorder="1" applyAlignment="1" applyProtection="1">
      <alignment horizontal="center" vertical="center"/>
    </xf>
    <xf numFmtId="44" fontId="10" fillId="14" borderId="0" xfId="0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  <xf numFmtId="3" fontId="0" fillId="0" borderId="9" xfId="0" applyNumberFormat="1" applyFill="1" applyBorder="1" applyProtection="1">
      <protection locked="0"/>
    </xf>
    <xf numFmtId="6" fontId="2" fillId="0" borderId="0" xfId="0" applyNumberFormat="1" applyFont="1" applyBorder="1" applyAlignment="1" applyProtection="1">
      <alignment horizontal="center"/>
      <protection locked="0"/>
    </xf>
    <xf numFmtId="16" fontId="0" fillId="0" borderId="0" xfId="0" applyNumberFormat="1" applyFont="1" applyBorder="1" applyAlignment="1" applyProtection="1">
      <alignment horizontal="center" wrapText="1"/>
    </xf>
    <xf numFmtId="6" fontId="0" fillId="0" borderId="0" xfId="0" applyNumberFormat="1" applyBorder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right"/>
      <protection locked="0"/>
    </xf>
    <xf numFmtId="8" fontId="0" fillId="0" borderId="0" xfId="0" applyNumberFormat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3" fontId="0" fillId="0" borderId="0" xfId="0" applyNumberFormat="1" applyFont="1" applyAlignment="1" applyProtection="1">
      <alignment horizontal="right"/>
      <protection locked="0"/>
    </xf>
    <xf numFmtId="9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3" fontId="10" fillId="0" borderId="11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/>
    <xf numFmtId="6" fontId="0" fillId="0" borderId="0" xfId="0" applyNumberFormat="1" applyAlignment="1">
      <alignment horizontal="center"/>
    </xf>
    <xf numFmtId="0" fontId="10" fillId="0" borderId="0" xfId="0" applyFont="1" applyFill="1" applyBorder="1" applyAlignment="1" applyProtection="1">
      <alignment horizontal="center" vertical="center"/>
    </xf>
    <xf numFmtId="6" fontId="0" fillId="0" borderId="3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6" fontId="0" fillId="13" borderId="0" xfId="0" applyNumberFormat="1" applyFont="1" applyFill="1" applyBorder="1" applyProtection="1">
      <protection locked="0"/>
    </xf>
    <xf numFmtId="8" fontId="0" fillId="13" borderId="0" xfId="0" applyNumberFormat="1" applyFont="1" applyFill="1" applyBorder="1" applyProtection="1">
      <protection locked="0"/>
    </xf>
    <xf numFmtId="170" fontId="10" fillId="3" borderId="11" xfId="49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  <xf numFmtId="15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44" fontId="0" fillId="0" borderId="0" xfId="50" applyFont="1" applyProtection="1">
      <protection locked="0"/>
    </xf>
    <xf numFmtId="10" fontId="0" fillId="0" borderId="0" xfId="53" applyNumberFormat="1" applyFont="1" applyAlignment="1" applyProtection="1">
      <alignment horizontal="right"/>
      <protection locked="0"/>
    </xf>
    <xf numFmtId="0" fontId="0" fillId="16" borderId="0" xfId="0" applyFont="1" applyFill="1" applyAlignment="1" applyProtection="1">
      <alignment horizontal="right"/>
      <protection locked="0"/>
    </xf>
    <xf numFmtId="8" fontId="0" fillId="0" borderId="0" xfId="0" applyNumberFormat="1" applyFont="1" applyProtection="1">
      <protection locked="0"/>
    </xf>
    <xf numFmtId="172" fontId="0" fillId="0" borderId="0" xfId="50" applyNumberFormat="1" applyFont="1" applyAlignment="1" applyProtection="1">
      <alignment horizontal="right"/>
      <protection locked="0"/>
    </xf>
    <xf numFmtId="0" fontId="14" fillId="0" borderId="0" xfId="54" applyAlignment="1" applyProtection="1">
      <alignment horizontal="left"/>
      <protection locked="0"/>
    </xf>
    <xf numFmtId="44" fontId="0" fillId="0" borderId="0" xfId="50" applyFont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/>
    <xf numFmtId="0" fontId="0" fillId="0" borderId="0" xfId="0" applyFill="1" applyBorder="1" applyAlignment="1">
      <alignment wrapText="1"/>
    </xf>
    <xf numFmtId="6" fontId="2" fillId="0" borderId="3" xfId="0" applyNumberFormat="1" applyFont="1" applyFill="1" applyBorder="1" applyAlignment="1" applyProtection="1">
      <alignment horizontal="center" wrapText="1"/>
      <protection locked="0"/>
    </xf>
    <xf numFmtId="6" fontId="0" fillId="0" borderId="3" xfId="0" applyNumberFormat="1" applyFont="1" applyFill="1" applyBorder="1" applyAlignment="1" applyProtection="1">
      <alignment horizontal="right" wrapText="1"/>
      <protection locked="0"/>
    </xf>
    <xf numFmtId="6" fontId="0" fillId="0" borderId="0" xfId="0" applyNumberFormat="1" applyFont="1" applyFill="1" applyBorder="1" applyAlignment="1" applyProtection="1">
      <alignment horizontal="right"/>
      <protection locked="0"/>
    </xf>
    <xf numFmtId="6" fontId="0" fillId="0" borderId="0" xfId="0" applyNumberFormat="1" applyFont="1" applyFill="1" applyAlignment="1" applyProtection="1">
      <alignment horizontal="right"/>
      <protection locked="0"/>
    </xf>
    <xf numFmtId="8" fontId="0" fillId="0" borderId="3" xfId="0" applyNumberFormat="1" applyFont="1" applyFill="1" applyBorder="1" applyAlignment="1" applyProtection="1">
      <alignment horizontal="right"/>
      <protection locked="0"/>
    </xf>
    <xf numFmtId="0" fontId="15" fillId="0" borderId="12" xfId="0" applyFont="1" applyBorder="1" applyProtection="1">
      <protection locked="0"/>
    </xf>
    <xf numFmtId="0" fontId="0" fillId="0" borderId="13" xfId="0" applyFont="1" applyBorder="1" applyAlignment="1" applyProtection="1">
      <alignment horizontal="center"/>
      <protection locked="0"/>
    </xf>
    <xf numFmtId="3" fontId="0" fillId="0" borderId="13" xfId="0" applyNumberFormat="1" applyFont="1" applyBorder="1" applyProtection="1">
      <protection locked="0"/>
    </xf>
    <xf numFmtId="164" fontId="0" fillId="0" borderId="13" xfId="0" applyNumberFormat="1" applyFont="1" applyBorder="1" applyProtection="1">
      <protection locked="0"/>
    </xf>
    <xf numFmtId="15" fontId="2" fillId="0" borderId="13" xfId="0" applyNumberFormat="1" applyFont="1" applyBorder="1" applyAlignment="1" applyProtection="1">
      <alignment horizontal="center"/>
      <protection locked="0"/>
    </xf>
    <xf numFmtId="6" fontId="0" fillId="2" borderId="13" xfId="0" applyNumberFormat="1" applyFont="1" applyFill="1" applyBorder="1" applyAlignment="1" applyProtection="1">
      <alignment horizontal="right"/>
      <protection locked="0"/>
    </xf>
    <xf numFmtId="6" fontId="0" fillId="0" borderId="13" xfId="0" applyNumberFormat="1" applyFont="1" applyFill="1" applyBorder="1" applyAlignment="1" applyProtection="1">
      <alignment horizontal="right"/>
      <protection locked="0"/>
    </xf>
    <xf numFmtId="9" fontId="0" fillId="0" borderId="13" xfId="0" applyNumberFormat="1" applyFont="1" applyFill="1" applyBorder="1" applyProtection="1">
      <protection locked="0"/>
    </xf>
    <xf numFmtId="15" fontId="2" fillId="0" borderId="14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left"/>
      <protection locked="0"/>
    </xf>
    <xf numFmtId="9" fontId="0" fillId="0" borderId="0" xfId="0" applyNumberFormat="1" applyFont="1" applyFill="1" applyBorder="1" applyProtection="1"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0" fillId="0" borderId="15" xfId="0" applyFont="1" applyBorder="1" applyProtection="1">
      <protection locked="0"/>
    </xf>
    <xf numFmtId="164" fontId="0" fillId="0" borderId="0" xfId="0" applyNumberFormat="1" applyFont="1" applyBorder="1" applyProtection="1">
      <protection locked="0"/>
    </xf>
    <xf numFmtId="0" fontId="3" fillId="0" borderId="15" xfId="0" applyFont="1" applyBorder="1"/>
    <xf numFmtId="44" fontId="0" fillId="0" borderId="0" xfId="11" applyFont="1" applyBorder="1" applyProtection="1">
      <protection locked="0"/>
    </xf>
    <xf numFmtId="8" fontId="0" fillId="13" borderId="16" xfId="0" applyNumberFormat="1" applyFont="1" applyFill="1" applyBorder="1" applyProtection="1">
      <protection locked="0"/>
    </xf>
    <xf numFmtId="0" fontId="5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Font="1" applyBorder="1" applyAlignment="1" applyProtection="1">
      <alignment horizontal="center"/>
      <protection locked="0"/>
    </xf>
    <xf numFmtId="0" fontId="0" fillId="0" borderId="17" xfId="0" applyFont="1" applyBorder="1" applyProtection="1">
      <protection locked="0"/>
    </xf>
    <xf numFmtId="0" fontId="0" fillId="0" borderId="18" xfId="0" applyFont="1" applyBorder="1" applyAlignment="1" applyProtection="1">
      <alignment horizontal="center"/>
      <protection locked="0"/>
    </xf>
    <xf numFmtId="173" fontId="0" fillId="0" borderId="18" xfId="53" applyNumberFormat="1" applyFont="1" applyBorder="1" applyProtection="1">
      <protection locked="0"/>
    </xf>
    <xf numFmtId="164" fontId="0" fillId="0" borderId="18" xfId="0" applyNumberFormat="1" applyFont="1" applyBorder="1" applyProtection="1">
      <protection locked="0"/>
    </xf>
    <xf numFmtId="6" fontId="0" fillId="2" borderId="18" xfId="0" applyNumberFormat="1" applyFont="1" applyFill="1" applyBorder="1" applyAlignment="1" applyProtection="1">
      <alignment horizontal="right"/>
      <protection locked="0"/>
    </xf>
    <xf numFmtId="6" fontId="0" fillId="0" borderId="18" xfId="0" applyNumberFormat="1" applyFont="1" applyFill="1" applyBorder="1" applyAlignment="1" applyProtection="1">
      <alignment horizontal="right"/>
      <protection locked="0"/>
    </xf>
    <xf numFmtId="9" fontId="0" fillId="0" borderId="18" xfId="0" applyNumberFormat="1" applyFont="1" applyFill="1" applyBorder="1" applyProtection="1">
      <protection locked="0"/>
    </xf>
    <xf numFmtId="174" fontId="0" fillId="0" borderId="19" xfId="0" applyNumberFormat="1" applyFont="1" applyBorder="1" applyProtection="1">
      <protection locked="0"/>
    </xf>
    <xf numFmtId="8" fontId="0" fillId="15" borderId="9" xfId="0" applyNumberFormat="1" applyFont="1" applyFill="1" applyBorder="1" applyProtection="1">
      <protection locked="0"/>
    </xf>
    <xf numFmtId="175" fontId="0" fillId="0" borderId="0" xfId="0" applyNumberFormat="1" applyAlignment="1"/>
    <xf numFmtId="175" fontId="10" fillId="0" borderId="11" xfId="0" applyNumberFormat="1" applyFont="1" applyFill="1" applyBorder="1" applyAlignment="1" applyProtection="1">
      <alignment horizontal="right" vertical="center"/>
    </xf>
    <xf numFmtId="44" fontId="10" fillId="0" borderId="11" xfId="50" applyNumberFormat="1" applyFont="1" applyFill="1" applyBorder="1" applyAlignment="1" applyProtection="1">
      <alignment horizontal="right" vertical="center"/>
    </xf>
    <xf numFmtId="44" fontId="10" fillId="13" borderId="11" xfId="0" applyNumberFormat="1" applyFont="1" applyFill="1" applyBorder="1" applyAlignment="1" applyProtection="1">
      <alignment horizontal="right" vertical="center"/>
    </xf>
    <xf numFmtId="44" fontId="0" fillId="0" borderId="11" xfId="0" applyNumberFormat="1" applyBorder="1" applyAlignment="1"/>
    <xf numFmtId="44" fontId="0" fillId="0" borderId="11" xfId="50" applyNumberFormat="1" applyFont="1" applyBorder="1" applyAlignment="1"/>
    <xf numFmtId="44" fontId="0" fillId="0" borderId="0" xfId="0" applyNumberFormat="1" applyBorder="1" applyAlignment="1"/>
    <xf numFmtId="44" fontId="10" fillId="13" borderId="11" xfId="50" applyNumberFormat="1" applyFont="1" applyFill="1" applyBorder="1" applyAlignment="1" applyProtection="1">
      <alignment horizontal="right" vertical="center"/>
    </xf>
    <xf numFmtId="44" fontId="10" fillId="3" borderId="11" xfId="50" applyNumberFormat="1" applyFont="1" applyFill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</cellXfs>
  <cellStyles count="55">
    <cellStyle name="Analysis-" xfId="1"/>
    <cellStyle name="Analysis_" xfId="2"/>
    <cellStyle name="Comma" xfId="49" builtinId="3"/>
    <cellStyle name="Comma 2" xfId="3"/>
    <cellStyle name="Comma 2 2" xfId="4"/>
    <cellStyle name="Comma 3" xfId="5"/>
    <cellStyle name="Cost_Display" xfId="6"/>
    <cellStyle name="Cost-Display" xfId="7"/>
    <cellStyle name="Cost-Entry" xfId="8"/>
    <cellStyle name="Currency" xfId="50" builtinId="4"/>
    <cellStyle name="Currency 2" xfId="9"/>
    <cellStyle name="Currency 2 2" xfId="10"/>
    <cellStyle name="Currency 3" xfId="11"/>
    <cellStyle name="Days-" xfId="12"/>
    <cellStyle name="Days_" xfId="13"/>
    <cellStyle name="Days-Display" xfId="14"/>
    <cellStyle name="Hyperlink" xfId="54" builtinId="8"/>
    <cellStyle name="Info_Display" xfId="15"/>
    <cellStyle name="Info-Display" xfId="16"/>
    <cellStyle name="Info-Entry" xfId="17"/>
    <cellStyle name="Normal" xfId="0" builtinId="0"/>
    <cellStyle name="Normal 10" xfId="18"/>
    <cellStyle name="Normal 11" xfId="19"/>
    <cellStyle name="Normal 12" xfId="51"/>
    <cellStyle name="Normal 13" xfId="52"/>
    <cellStyle name="Normal 2" xfId="20"/>
    <cellStyle name="Normal 2 2" xfId="21"/>
    <cellStyle name="Normal 2 3" xfId="22"/>
    <cellStyle name="Normal 3" xfId="23"/>
    <cellStyle name="Normal 3 2" xfId="24"/>
    <cellStyle name="Normal 3 2 2" xfId="25"/>
    <cellStyle name="Normal 3 3" xfId="26"/>
    <cellStyle name="Normal 3 4" xfId="27"/>
    <cellStyle name="Normal 3 5" xfId="28"/>
    <cellStyle name="Normal 4" xfId="29"/>
    <cellStyle name="Normal 4 2" xfId="30"/>
    <cellStyle name="Normal 4 2 2" xfId="31"/>
    <cellStyle name="Normal 4 3" xfId="32"/>
    <cellStyle name="Normal 4 4" xfId="33"/>
    <cellStyle name="Normal 4 5" xfId="34"/>
    <cellStyle name="Normal 5" xfId="35"/>
    <cellStyle name="Normal 6" xfId="36"/>
    <cellStyle name="Normal 6 2" xfId="37"/>
    <cellStyle name="Normal 7" xfId="38"/>
    <cellStyle name="Normal 7 2" xfId="39"/>
    <cellStyle name="Normal 8" xfId="40"/>
    <cellStyle name="Normal 9" xfId="41"/>
    <cellStyle name="Percent" xfId="53" builtinId="5"/>
    <cellStyle name="Price" xfId="42"/>
    <cellStyle name="Quant_Display" xfId="43"/>
    <cellStyle name="Quant-Display" xfId="44"/>
    <cellStyle name="Quant-Entry" xfId="45"/>
    <cellStyle name="Revenue_Display" xfId="46"/>
    <cellStyle name="Revenue-Display" xfId="47"/>
    <cellStyle name="Revenue-Entry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talprices.com/metal/cupro-nickel/cupro-nickel-c706" TargetMode="External"/><Relationship Id="rId3" Type="http://schemas.openxmlformats.org/officeDocument/2006/relationships/hyperlink" Target="http://www.metalprices.com/historical/database/copper/lme-copper-cash-official" TargetMode="External"/><Relationship Id="rId7" Type="http://schemas.openxmlformats.org/officeDocument/2006/relationships/hyperlink" Target="http://www.metalprices.com/historical/database/stainless-steel/stainless-steel-304-s-p" TargetMode="External"/><Relationship Id="rId2" Type="http://schemas.openxmlformats.org/officeDocument/2006/relationships/hyperlink" Target="http://www.metalprices.com/historical/database/aluminum/lme-aluminum-cash-official" TargetMode="External"/><Relationship Id="rId1" Type="http://schemas.openxmlformats.org/officeDocument/2006/relationships/hyperlink" Target="http://www.metalprices.com/historical/database/ferrous-scrap-price-index/fe-spi-5-plate-structural-birmingham" TargetMode="External"/><Relationship Id="rId6" Type="http://schemas.openxmlformats.org/officeDocument/2006/relationships/hyperlink" Target="http://www.metalprices.com/historical/database/brass/brass-yellow-brass" TargetMode="External"/><Relationship Id="rId5" Type="http://schemas.openxmlformats.org/officeDocument/2006/relationships/hyperlink" Target="http://www.metalprices.com/historical/database/stainless-steel/stainless-steel-304-s-p" TargetMode="External"/><Relationship Id="rId4" Type="http://schemas.openxmlformats.org/officeDocument/2006/relationships/hyperlink" Target="http://www.metalprices.com/historical/database/stainless-steel/stainless-steel-304-s-p" TargetMode="External"/><Relationship Id="rId9" Type="http://schemas.openxmlformats.org/officeDocument/2006/relationships/hyperlink" Target="http://www.metalprices.com/metal/titanium/titanium-scrap-ferro-ti-quality-turnings-non-tin-bearing-gt-85-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07"/>
  <sheetViews>
    <sheetView showZeros="0" zoomScale="85" zoomScaleNormal="85" zoomScaleSheetLayoutView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E83" sqref="E83"/>
    </sheetView>
  </sheetViews>
  <sheetFormatPr defaultRowHeight="15" x14ac:dyDescent="0.25"/>
  <cols>
    <col min="1" max="1" width="2.42578125" style="1" customWidth="1"/>
    <col min="2" max="2" width="51.7109375" style="2" customWidth="1"/>
    <col min="3" max="3" width="4.85546875" style="63" bestFit="1" customWidth="1"/>
    <col min="4" max="4" width="10.140625" style="64" bestFit="1" customWidth="1"/>
    <col min="5" max="5" width="11.85546875" style="65" bestFit="1" customWidth="1"/>
    <col min="6" max="6" width="12.5703125" style="66" bestFit="1" customWidth="1"/>
    <col min="7" max="7" width="1.85546875" style="67" customWidth="1"/>
    <col min="8" max="8" width="16.140625" style="161" customWidth="1"/>
    <col min="9" max="9" width="1.85546875" style="67" customWidth="1"/>
    <col min="10" max="10" width="5.5703125" style="68" bestFit="1" customWidth="1"/>
    <col min="11" max="11" width="9.5703125" style="63" customWidth="1"/>
    <col min="12" max="12" width="5.5703125" style="69" bestFit="1" customWidth="1"/>
    <col min="13" max="13" width="10" style="7" customWidth="1"/>
    <col min="14" max="14" width="4.5703125" style="7" bestFit="1" customWidth="1"/>
    <col min="15" max="15" width="9.28515625" style="2" customWidth="1"/>
    <col min="16" max="16" width="4.5703125" style="7" bestFit="1" customWidth="1"/>
    <col min="17" max="17" width="9.28515625" style="7" bestFit="1" customWidth="1"/>
    <col min="18" max="18" width="4.5703125" style="7" bestFit="1" customWidth="1"/>
    <col min="19" max="19" width="9.28515625" style="2" bestFit="1" customWidth="1"/>
    <col min="20" max="20" width="2" style="67" customWidth="1"/>
    <col min="21" max="21" width="5.7109375" style="68" bestFit="1" customWidth="1"/>
    <col min="22" max="22" width="10.85546875" style="7" bestFit="1" customWidth="1"/>
    <col min="23" max="23" width="5.5703125" style="69" bestFit="1" customWidth="1"/>
    <col min="24" max="24" width="10.85546875" style="7" bestFit="1" customWidth="1"/>
    <col min="25" max="25" width="5.5703125" style="7" bestFit="1" customWidth="1"/>
    <col min="26" max="26" width="10.85546875" style="2" bestFit="1" customWidth="1"/>
    <col min="27" max="27" width="5.5703125" style="7" bestFit="1" customWidth="1"/>
    <col min="28" max="28" width="10.85546875" style="7" bestFit="1" customWidth="1"/>
    <col min="29" max="29" width="5.5703125" style="7" bestFit="1" customWidth="1"/>
    <col min="30" max="30" width="10.85546875" style="2" bestFit="1" customWidth="1"/>
    <col min="31" max="31" width="1.42578125" style="70" customWidth="1"/>
    <col min="32" max="32" width="5.5703125" style="68" bestFit="1" customWidth="1"/>
    <col min="33" max="33" width="12.5703125" style="7" bestFit="1" customWidth="1"/>
    <col min="34" max="34" width="5.5703125" style="69" bestFit="1" customWidth="1"/>
    <col min="35" max="35" width="11.5703125" style="7" bestFit="1" customWidth="1"/>
    <col min="36" max="36" width="5.5703125" style="7" bestFit="1" customWidth="1"/>
    <col min="37" max="37" width="11.5703125" style="2" bestFit="1" customWidth="1"/>
    <col min="38" max="38" width="5.5703125" style="7" bestFit="1" customWidth="1"/>
    <col min="39" max="39" width="11.5703125" style="7" customWidth="1"/>
    <col min="40" max="40" width="5.5703125" style="7" bestFit="1" customWidth="1"/>
    <col min="41" max="41" width="11.5703125" style="2" bestFit="1" customWidth="1"/>
    <col min="42" max="42" width="1.28515625" style="70" customWidth="1"/>
    <col min="43" max="43" width="5.5703125" style="68" bestFit="1" customWidth="1"/>
    <col min="44" max="44" width="11.5703125" style="7" customWidth="1"/>
    <col min="45" max="45" width="5.7109375" style="69" bestFit="1" customWidth="1"/>
    <col min="46" max="46" width="11.5703125" style="7" bestFit="1" customWidth="1"/>
    <col min="47" max="47" width="5.7109375" style="7" bestFit="1" customWidth="1"/>
    <col min="48" max="48" width="11.5703125" style="2" bestFit="1" customWidth="1"/>
    <col min="49" max="49" width="5.7109375" style="7" bestFit="1" customWidth="1"/>
    <col min="50" max="50" width="11.5703125" style="7" customWidth="1"/>
    <col min="51" max="51" width="5.7109375" style="7" bestFit="1" customWidth="1"/>
    <col min="52" max="52" width="11.5703125" style="2" bestFit="1" customWidth="1"/>
    <col min="53" max="53" width="1.7109375" style="70" customWidth="1"/>
    <col min="54" max="54" width="5.5703125" style="68" bestFit="1" customWidth="1"/>
    <col min="55" max="55" width="11.5703125" style="7" customWidth="1"/>
    <col min="56" max="56" width="5.5703125" style="69" bestFit="1" customWidth="1"/>
    <col min="57" max="57" width="11.5703125" style="7" bestFit="1" customWidth="1"/>
    <col min="58" max="58" width="5.5703125" style="7" bestFit="1" customWidth="1"/>
    <col min="59" max="59" width="11.5703125" style="2" bestFit="1" customWidth="1"/>
    <col min="60" max="60" width="5.5703125" style="7" bestFit="1" customWidth="1"/>
    <col min="61" max="61" width="11.5703125" style="7" customWidth="1"/>
    <col min="62" max="62" width="5.5703125" style="7" bestFit="1" customWidth="1"/>
    <col min="63" max="63" width="11.5703125" style="2" bestFit="1" customWidth="1"/>
    <col min="64" max="64" width="1.28515625" style="70" customWidth="1"/>
    <col min="65" max="65" width="5.7109375" style="68" bestFit="1" customWidth="1"/>
    <col min="66" max="66" width="11.5703125" style="7" customWidth="1"/>
    <col min="67" max="67" width="5.5703125" style="69" bestFit="1" customWidth="1"/>
    <col min="68" max="68" width="11.5703125" style="7" bestFit="1" customWidth="1"/>
    <col min="69" max="69" width="5.5703125" style="7" bestFit="1" customWidth="1"/>
    <col min="70" max="70" width="11.5703125" style="2" bestFit="1" customWidth="1"/>
    <col min="71" max="71" width="5.5703125" style="7" bestFit="1" customWidth="1"/>
    <col min="72" max="72" width="11.5703125" style="7" customWidth="1"/>
    <col min="73" max="73" width="5.5703125" style="7" bestFit="1" customWidth="1"/>
    <col min="74" max="74" width="10" style="2" bestFit="1" customWidth="1"/>
    <col min="75" max="75" width="2.42578125" style="70" customWidth="1"/>
    <col min="76" max="76" width="4.7109375" style="68" bestFit="1" customWidth="1"/>
    <col min="77" max="77" width="11.85546875" style="7" bestFit="1" customWidth="1"/>
    <col min="78" max="78" width="5.5703125" style="69" bestFit="1" customWidth="1"/>
    <col min="79" max="79" width="8.28515625" style="7" bestFit="1" customWidth="1"/>
    <col min="80" max="80" width="6.5703125" style="7" bestFit="1" customWidth="1"/>
    <col min="81" max="81" width="8.28515625" style="2" bestFit="1" customWidth="1"/>
    <col min="82" max="82" width="5.5703125" style="7" bestFit="1" customWidth="1"/>
    <col min="83" max="83" width="8.28515625" style="7" bestFit="1" customWidth="1"/>
    <col min="84" max="84" width="5.5703125" style="7" bestFit="1" customWidth="1"/>
    <col min="85" max="85" width="8.28515625" style="2" bestFit="1" customWidth="1"/>
    <col min="86" max="86" width="1.85546875" style="70" customWidth="1"/>
    <col min="87" max="87" width="5.5703125" style="68" bestFit="1" customWidth="1"/>
    <col min="88" max="88" width="11.5703125" style="7" customWidth="1"/>
    <col min="89" max="89" width="5.5703125" style="69" bestFit="1" customWidth="1"/>
    <col min="90" max="90" width="11.5703125" style="7" bestFit="1" customWidth="1"/>
    <col min="91" max="91" width="5.5703125" style="7" bestFit="1" customWidth="1"/>
    <col min="92" max="92" width="11.5703125" style="2" bestFit="1" customWidth="1"/>
    <col min="93" max="93" width="5.5703125" style="7" bestFit="1" customWidth="1"/>
    <col min="94" max="94" width="11.5703125" style="7" customWidth="1"/>
    <col min="95" max="95" width="5.5703125" style="7" bestFit="1" customWidth="1"/>
    <col min="96" max="96" width="11.5703125" style="2" bestFit="1" customWidth="1"/>
    <col min="97" max="97" width="36.42578125" style="6" bestFit="1" customWidth="1"/>
    <col min="98" max="99" width="36.42578125" style="7" bestFit="1" customWidth="1"/>
    <col min="100" max="16384" width="9.140625" style="2"/>
  </cols>
  <sheetData>
    <row r="1" spans="1:100" x14ac:dyDescent="0.25">
      <c r="C1" s="207" t="s">
        <v>0</v>
      </c>
      <c r="D1" s="208"/>
      <c r="E1" s="208"/>
      <c r="F1" s="208"/>
      <c r="G1" s="3"/>
      <c r="H1" s="156"/>
      <c r="I1" s="3"/>
      <c r="J1" s="203" t="s">
        <v>1</v>
      </c>
      <c r="K1" s="204"/>
      <c r="L1" s="204"/>
      <c r="M1" s="204"/>
      <c r="N1" s="204"/>
      <c r="O1" s="204"/>
      <c r="P1" s="204"/>
      <c r="Q1" s="204"/>
      <c r="R1" s="204"/>
      <c r="S1" s="204"/>
      <c r="T1" s="3"/>
      <c r="U1" s="203" t="s">
        <v>2</v>
      </c>
      <c r="V1" s="204"/>
      <c r="W1" s="204"/>
      <c r="X1" s="204"/>
      <c r="Y1" s="204"/>
      <c r="Z1" s="204"/>
      <c r="AA1" s="204"/>
      <c r="AB1" s="204"/>
      <c r="AC1" s="204"/>
      <c r="AD1" s="204"/>
      <c r="AE1" s="4"/>
      <c r="AF1" s="203" t="s">
        <v>3</v>
      </c>
      <c r="AG1" s="204"/>
      <c r="AH1" s="204"/>
      <c r="AI1" s="204"/>
      <c r="AJ1" s="204"/>
      <c r="AK1" s="204"/>
      <c r="AL1" s="204"/>
      <c r="AM1" s="204"/>
      <c r="AN1" s="204"/>
      <c r="AO1" s="204"/>
      <c r="AP1" s="4"/>
      <c r="AQ1" s="203" t="s">
        <v>4</v>
      </c>
      <c r="AR1" s="204"/>
      <c r="AS1" s="204"/>
      <c r="AT1" s="204"/>
      <c r="AU1" s="204"/>
      <c r="AV1" s="204"/>
      <c r="AW1" s="204"/>
      <c r="AX1" s="204"/>
      <c r="AY1" s="204"/>
      <c r="AZ1" s="204"/>
      <c r="BA1" s="4"/>
      <c r="BB1" s="203" t="s">
        <v>5</v>
      </c>
      <c r="BC1" s="204"/>
      <c r="BD1" s="204"/>
      <c r="BE1" s="204"/>
      <c r="BF1" s="204"/>
      <c r="BG1" s="204"/>
      <c r="BH1" s="204"/>
      <c r="BI1" s="204"/>
      <c r="BJ1" s="204"/>
      <c r="BK1" s="204"/>
      <c r="BL1" s="4"/>
      <c r="BM1" s="203" t="s">
        <v>6</v>
      </c>
      <c r="BN1" s="204"/>
      <c r="BO1" s="204"/>
      <c r="BP1" s="204"/>
      <c r="BQ1" s="204"/>
      <c r="BR1" s="204"/>
      <c r="BS1" s="204"/>
      <c r="BT1" s="204"/>
      <c r="BU1" s="5"/>
      <c r="BV1" s="5"/>
      <c r="BW1" s="4"/>
      <c r="BX1" s="203" t="s">
        <v>7</v>
      </c>
      <c r="BY1" s="204"/>
      <c r="BZ1" s="204"/>
      <c r="CA1" s="204"/>
      <c r="CB1" s="204"/>
      <c r="CC1" s="204"/>
      <c r="CD1" s="204"/>
      <c r="CE1" s="204"/>
      <c r="CF1" s="204"/>
      <c r="CG1" s="204"/>
      <c r="CH1" s="4"/>
      <c r="CI1" s="203" t="s">
        <v>8</v>
      </c>
      <c r="CJ1" s="204"/>
      <c r="CK1" s="204"/>
      <c r="CL1" s="204"/>
      <c r="CM1" s="204"/>
      <c r="CN1" s="204"/>
      <c r="CO1" s="204"/>
      <c r="CP1" s="204"/>
      <c r="CQ1" s="204"/>
      <c r="CR1" s="204"/>
    </row>
    <row r="2" spans="1:100" s="9" customFormat="1" ht="57.75" customHeight="1" x14ac:dyDescent="0.25">
      <c r="A2" s="8"/>
      <c r="C2" s="205"/>
      <c r="D2" s="206"/>
      <c r="E2" s="206"/>
      <c r="F2" s="206"/>
      <c r="G2" s="10"/>
      <c r="H2" s="157"/>
      <c r="I2" s="10"/>
      <c r="J2" s="11"/>
      <c r="K2" s="12"/>
      <c r="L2" s="201" t="s">
        <v>187</v>
      </c>
      <c r="M2" s="202"/>
      <c r="N2" s="201" t="s">
        <v>188</v>
      </c>
      <c r="O2" s="202"/>
      <c r="P2" s="201" t="s">
        <v>189</v>
      </c>
      <c r="Q2" s="202"/>
      <c r="R2" s="201" t="s">
        <v>190</v>
      </c>
      <c r="S2" s="202"/>
      <c r="T2" s="10"/>
      <c r="U2" s="11"/>
      <c r="V2" s="12"/>
      <c r="W2" s="201" t="s">
        <v>187</v>
      </c>
      <c r="X2" s="202"/>
      <c r="Y2" s="201" t="s">
        <v>188</v>
      </c>
      <c r="Z2" s="202"/>
      <c r="AA2" s="201" t="s">
        <v>189</v>
      </c>
      <c r="AB2" s="202"/>
      <c r="AC2" s="201" t="s">
        <v>190</v>
      </c>
      <c r="AD2" s="202"/>
      <c r="AE2" s="13"/>
      <c r="AF2" s="11"/>
      <c r="AG2" s="12"/>
      <c r="AH2" s="201" t="s">
        <v>187</v>
      </c>
      <c r="AI2" s="202"/>
      <c r="AJ2" s="201" t="s">
        <v>188</v>
      </c>
      <c r="AK2" s="202"/>
      <c r="AL2" s="201" t="s">
        <v>189</v>
      </c>
      <c r="AM2" s="202"/>
      <c r="AN2" s="201" t="s">
        <v>190</v>
      </c>
      <c r="AO2" s="202"/>
      <c r="AP2" s="13"/>
      <c r="AQ2" s="11"/>
      <c r="AR2" s="12"/>
      <c r="AS2" s="201" t="s">
        <v>187</v>
      </c>
      <c r="AT2" s="202"/>
      <c r="AU2" s="201" t="s">
        <v>188</v>
      </c>
      <c r="AV2" s="202"/>
      <c r="AW2" s="201" t="s">
        <v>189</v>
      </c>
      <c r="AX2" s="202"/>
      <c r="AY2" s="201" t="s">
        <v>190</v>
      </c>
      <c r="AZ2" s="202"/>
      <c r="BA2" s="13"/>
      <c r="BB2" s="11"/>
      <c r="BC2" s="12"/>
      <c r="BD2" s="201" t="s">
        <v>187</v>
      </c>
      <c r="BE2" s="202"/>
      <c r="BF2" s="201" t="s">
        <v>188</v>
      </c>
      <c r="BG2" s="202"/>
      <c r="BH2" s="201" t="s">
        <v>189</v>
      </c>
      <c r="BI2" s="202"/>
      <c r="BJ2" s="201" t="s">
        <v>190</v>
      </c>
      <c r="BK2" s="202"/>
      <c r="BL2" s="13"/>
      <c r="BM2" s="11"/>
      <c r="BN2" s="12"/>
      <c r="BO2" s="201" t="s">
        <v>187</v>
      </c>
      <c r="BP2" s="202"/>
      <c r="BQ2" s="201" t="s">
        <v>188</v>
      </c>
      <c r="BR2" s="202"/>
      <c r="BS2" s="201" t="s">
        <v>189</v>
      </c>
      <c r="BT2" s="202"/>
      <c r="BU2" s="201" t="s">
        <v>190</v>
      </c>
      <c r="BV2" s="202"/>
      <c r="BW2" s="13"/>
      <c r="BX2" s="11"/>
      <c r="BY2" s="12"/>
      <c r="BZ2" s="201" t="s">
        <v>187</v>
      </c>
      <c r="CA2" s="202"/>
      <c r="CB2" s="201" t="s">
        <v>188</v>
      </c>
      <c r="CC2" s="202"/>
      <c r="CD2" s="201" t="s">
        <v>189</v>
      </c>
      <c r="CE2" s="202"/>
      <c r="CF2" s="201" t="s">
        <v>190</v>
      </c>
      <c r="CG2" s="202"/>
      <c r="CH2" s="13"/>
      <c r="CI2" s="11"/>
      <c r="CJ2" s="12"/>
      <c r="CK2" s="201" t="s">
        <v>187</v>
      </c>
      <c r="CL2" s="202"/>
      <c r="CM2" s="201" t="s">
        <v>188</v>
      </c>
      <c r="CN2" s="202"/>
      <c r="CO2" s="201" t="s">
        <v>189</v>
      </c>
      <c r="CP2" s="202"/>
      <c r="CQ2" s="201" t="s">
        <v>190</v>
      </c>
      <c r="CR2" s="202"/>
      <c r="CS2" s="14"/>
      <c r="CT2" s="15"/>
      <c r="CU2" s="15"/>
    </row>
    <row r="3" spans="1:100" s="16" customFormat="1" ht="49.5" customHeight="1" x14ac:dyDescent="0.25">
      <c r="B3" s="16" t="s">
        <v>9</v>
      </c>
      <c r="C3" s="17" t="s">
        <v>10</v>
      </c>
      <c r="D3" s="18" t="s">
        <v>11</v>
      </c>
      <c r="E3" s="19" t="s">
        <v>12</v>
      </c>
      <c r="F3" s="20" t="s">
        <v>13</v>
      </c>
      <c r="G3" s="21"/>
      <c r="H3" s="158" t="s">
        <v>251</v>
      </c>
      <c r="I3" s="21"/>
      <c r="J3" s="22" t="s">
        <v>14</v>
      </c>
      <c r="K3" s="23" t="s">
        <v>0</v>
      </c>
      <c r="L3" s="24" t="s">
        <v>14</v>
      </c>
      <c r="M3" s="25" t="s">
        <v>13</v>
      </c>
      <c r="N3" s="26" t="s">
        <v>14</v>
      </c>
      <c r="O3" s="25" t="s">
        <v>13</v>
      </c>
      <c r="P3" s="26" t="s">
        <v>14</v>
      </c>
      <c r="Q3" s="25" t="s">
        <v>13</v>
      </c>
      <c r="R3" s="26" t="s">
        <v>14</v>
      </c>
      <c r="S3" s="25" t="s">
        <v>13</v>
      </c>
      <c r="T3" s="21"/>
      <c r="U3" s="22" t="s">
        <v>14</v>
      </c>
      <c r="V3" s="23" t="s">
        <v>0</v>
      </c>
      <c r="W3" s="24" t="s">
        <v>14</v>
      </c>
      <c r="X3" s="25" t="s">
        <v>13</v>
      </c>
      <c r="Y3" s="26" t="s">
        <v>14</v>
      </c>
      <c r="Z3" s="25" t="s">
        <v>13</v>
      </c>
      <c r="AA3" s="26" t="s">
        <v>14</v>
      </c>
      <c r="AB3" s="25" t="s">
        <v>13</v>
      </c>
      <c r="AC3" s="26" t="s">
        <v>14</v>
      </c>
      <c r="AD3" s="25" t="s">
        <v>13</v>
      </c>
      <c r="AE3" s="27"/>
      <c r="AF3" s="22" t="s">
        <v>14</v>
      </c>
      <c r="AG3" s="23" t="s">
        <v>0</v>
      </c>
      <c r="AH3" s="24" t="s">
        <v>14</v>
      </c>
      <c r="AI3" s="25" t="s">
        <v>13</v>
      </c>
      <c r="AJ3" s="26" t="s">
        <v>14</v>
      </c>
      <c r="AK3" s="25" t="s">
        <v>13</v>
      </c>
      <c r="AL3" s="26" t="s">
        <v>14</v>
      </c>
      <c r="AM3" s="25" t="s">
        <v>13</v>
      </c>
      <c r="AN3" s="26" t="s">
        <v>14</v>
      </c>
      <c r="AO3" s="25" t="s">
        <v>13</v>
      </c>
      <c r="AP3" s="27"/>
      <c r="AQ3" s="22" t="s">
        <v>14</v>
      </c>
      <c r="AR3" s="23" t="s">
        <v>0</v>
      </c>
      <c r="AS3" s="24" t="s">
        <v>14</v>
      </c>
      <c r="AT3" s="25" t="s">
        <v>13</v>
      </c>
      <c r="AU3" s="26" t="s">
        <v>14</v>
      </c>
      <c r="AV3" s="25" t="s">
        <v>13</v>
      </c>
      <c r="AW3" s="26" t="s">
        <v>14</v>
      </c>
      <c r="AX3" s="25" t="s">
        <v>13</v>
      </c>
      <c r="AY3" s="26" t="s">
        <v>14</v>
      </c>
      <c r="AZ3" s="25" t="s">
        <v>13</v>
      </c>
      <c r="BA3" s="27"/>
      <c r="BB3" s="22" t="s">
        <v>14</v>
      </c>
      <c r="BC3" s="23" t="s">
        <v>0</v>
      </c>
      <c r="BD3" s="24" t="s">
        <v>14</v>
      </c>
      <c r="BE3" s="25" t="s">
        <v>13</v>
      </c>
      <c r="BF3" s="26" t="s">
        <v>14</v>
      </c>
      <c r="BG3" s="25" t="s">
        <v>13</v>
      </c>
      <c r="BH3" s="26" t="s">
        <v>14</v>
      </c>
      <c r="BI3" s="25" t="s">
        <v>13</v>
      </c>
      <c r="BJ3" s="26" t="s">
        <v>14</v>
      </c>
      <c r="BK3" s="25" t="s">
        <v>13</v>
      </c>
      <c r="BL3" s="27"/>
      <c r="BM3" s="22" t="s">
        <v>14</v>
      </c>
      <c r="BN3" s="23" t="s">
        <v>0</v>
      </c>
      <c r="BO3" s="24" t="s">
        <v>14</v>
      </c>
      <c r="BP3" s="25" t="s">
        <v>13</v>
      </c>
      <c r="BQ3" s="26" t="s">
        <v>14</v>
      </c>
      <c r="BR3" s="25" t="s">
        <v>13</v>
      </c>
      <c r="BS3" s="26" t="s">
        <v>14</v>
      </c>
      <c r="BT3" s="25" t="s">
        <v>13</v>
      </c>
      <c r="BU3" s="26" t="s">
        <v>14</v>
      </c>
      <c r="BV3" s="25" t="s">
        <v>13</v>
      </c>
      <c r="BW3" s="27"/>
      <c r="BX3" s="22" t="s">
        <v>14</v>
      </c>
      <c r="BY3" s="23" t="s">
        <v>0</v>
      </c>
      <c r="BZ3" s="24" t="s">
        <v>14</v>
      </c>
      <c r="CA3" s="25" t="s">
        <v>13</v>
      </c>
      <c r="CB3" s="26" t="s">
        <v>14</v>
      </c>
      <c r="CC3" s="25" t="s">
        <v>13</v>
      </c>
      <c r="CD3" s="26" t="s">
        <v>14</v>
      </c>
      <c r="CE3" s="25" t="s">
        <v>13</v>
      </c>
      <c r="CF3" s="26" t="s">
        <v>14</v>
      </c>
      <c r="CG3" s="25" t="s">
        <v>13</v>
      </c>
      <c r="CH3" s="27"/>
      <c r="CI3" s="22" t="s">
        <v>14</v>
      </c>
      <c r="CJ3" s="23" t="s">
        <v>0</v>
      </c>
      <c r="CK3" s="24" t="s">
        <v>14</v>
      </c>
      <c r="CL3" s="25" t="s">
        <v>13</v>
      </c>
      <c r="CM3" s="26" t="s">
        <v>14</v>
      </c>
      <c r="CN3" s="25" t="s">
        <v>13</v>
      </c>
      <c r="CO3" s="26" t="s">
        <v>14</v>
      </c>
      <c r="CP3" s="25" t="s">
        <v>13</v>
      </c>
      <c r="CQ3" s="26" t="s">
        <v>14</v>
      </c>
      <c r="CR3" s="25" t="s">
        <v>13</v>
      </c>
      <c r="CS3" s="28" t="s">
        <v>15</v>
      </c>
      <c r="CT3" s="29" t="s">
        <v>16</v>
      </c>
      <c r="CU3" s="29" t="s">
        <v>17</v>
      </c>
      <c r="CV3" s="16" t="s">
        <v>18</v>
      </c>
    </row>
    <row r="4" spans="1:100" s="16" customFormat="1" x14ac:dyDescent="0.25">
      <c r="A4" s="30" t="s">
        <v>19</v>
      </c>
      <c r="C4" s="31"/>
      <c r="D4" s="32"/>
      <c r="E4" s="33"/>
      <c r="F4" s="34">
        <f t="shared" ref="F4:F17" si="0">D4*E4</f>
        <v>0</v>
      </c>
      <c r="G4" s="35"/>
      <c r="H4" s="159"/>
      <c r="I4" s="35"/>
      <c r="J4" s="36"/>
      <c r="K4" s="37">
        <f>J4*$F4</f>
        <v>0</v>
      </c>
      <c r="L4" s="38"/>
      <c r="M4" s="39">
        <f>L4*K4</f>
        <v>0</v>
      </c>
      <c r="N4" s="38"/>
      <c r="O4" s="39">
        <f>N4*K4</f>
        <v>0</v>
      </c>
      <c r="P4" s="38"/>
      <c r="Q4" s="39">
        <f>P4*K4</f>
        <v>0</v>
      </c>
      <c r="R4" s="38"/>
      <c r="S4" s="39">
        <f>R4*K4</f>
        <v>0</v>
      </c>
      <c r="T4" s="35"/>
      <c r="U4" s="36"/>
      <c r="V4" s="37">
        <f>U4*$F4</f>
        <v>0</v>
      </c>
      <c r="W4" s="38"/>
      <c r="X4" s="39">
        <f>W4*V4</f>
        <v>0</v>
      </c>
      <c r="Y4" s="38"/>
      <c r="Z4" s="39">
        <f>Y4*V4</f>
        <v>0</v>
      </c>
      <c r="AA4" s="38"/>
      <c r="AB4" s="39">
        <f>AA4*V4</f>
        <v>0</v>
      </c>
      <c r="AC4" s="38"/>
      <c r="AD4" s="39">
        <f>AC4*V4</f>
        <v>0</v>
      </c>
      <c r="AE4" s="40"/>
      <c r="AF4" s="36"/>
      <c r="AG4" s="37">
        <f>AF4*$F4</f>
        <v>0</v>
      </c>
      <c r="AH4" s="38"/>
      <c r="AI4" s="39">
        <f>AH4*AG4</f>
        <v>0</v>
      </c>
      <c r="AJ4" s="38"/>
      <c r="AK4" s="39">
        <f>AJ4*AG4</f>
        <v>0</v>
      </c>
      <c r="AL4" s="38"/>
      <c r="AM4" s="39">
        <f>AL4*AG4</f>
        <v>0</v>
      </c>
      <c r="AN4" s="38"/>
      <c r="AO4" s="39">
        <f>AN4*AG4</f>
        <v>0</v>
      </c>
      <c r="AP4" s="40"/>
      <c r="AQ4" s="36"/>
      <c r="AR4" s="37">
        <f>AQ4*$F4</f>
        <v>0</v>
      </c>
      <c r="AS4" s="38"/>
      <c r="AT4" s="39">
        <f>AS4*AR4</f>
        <v>0</v>
      </c>
      <c r="AU4" s="38"/>
      <c r="AV4" s="39">
        <f>AU4*AR4</f>
        <v>0</v>
      </c>
      <c r="AW4" s="38"/>
      <c r="AX4" s="39">
        <f>AW4*AR4</f>
        <v>0</v>
      </c>
      <c r="AY4" s="38"/>
      <c r="AZ4" s="39">
        <f>AY4*AR4</f>
        <v>0</v>
      </c>
      <c r="BA4" s="40"/>
      <c r="BB4" s="36"/>
      <c r="BC4" s="37">
        <f>BB4*$F4</f>
        <v>0</v>
      </c>
      <c r="BD4" s="38"/>
      <c r="BE4" s="39">
        <f>BD4*BC4</f>
        <v>0</v>
      </c>
      <c r="BF4" s="38"/>
      <c r="BG4" s="39">
        <f>BF4*BC4</f>
        <v>0</v>
      </c>
      <c r="BH4" s="38"/>
      <c r="BI4" s="39">
        <f>BH4*BC4</f>
        <v>0</v>
      </c>
      <c r="BJ4" s="38"/>
      <c r="BK4" s="39">
        <f>BJ4*BC4</f>
        <v>0</v>
      </c>
      <c r="BL4" s="40"/>
      <c r="BM4" s="36"/>
      <c r="BN4" s="37">
        <f>BM4*$F4</f>
        <v>0</v>
      </c>
      <c r="BO4" s="38"/>
      <c r="BP4" s="39">
        <f>BO4*BN4</f>
        <v>0</v>
      </c>
      <c r="BQ4" s="38"/>
      <c r="BR4" s="39">
        <f>BQ4*BN4</f>
        <v>0</v>
      </c>
      <c r="BS4" s="38"/>
      <c r="BT4" s="39">
        <f>BS4*BN4</f>
        <v>0</v>
      </c>
      <c r="BU4" s="38"/>
      <c r="BV4" s="39">
        <f>BU4*BN4</f>
        <v>0</v>
      </c>
      <c r="BW4" s="40"/>
      <c r="BX4" s="36"/>
      <c r="BY4" s="37">
        <f>BX4*$F4</f>
        <v>0</v>
      </c>
      <c r="BZ4" s="38"/>
      <c r="CA4" s="39">
        <f>BZ4*BY4</f>
        <v>0</v>
      </c>
      <c r="CB4" s="38"/>
      <c r="CC4" s="39">
        <f>CB4*BY4</f>
        <v>0</v>
      </c>
      <c r="CD4" s="38"/>
      <c r="CE4" s="39">
        <f>CD4*BY4</f>
        <v>0</v>
      </c>
      <c r="CF4" s="38"/>
      <c r="CG4" s="39">
        <f>CF4*BY4</f>
        <v>0</v>
      </c>
      <c r="CH4" s="40"/>
      <c r="CI4" s="36"/>
      <c r="CJ4" s="37">
        <f>CI4*$F4</f>
        <v>0</v>
      </c>
      <c r="CK4" s="38"/>
      <c r="CL4" s="39">
        <f>CK4*CJ4</f>
        <v>0</v>
      </c>
      <c r="CM4" s="38"/>
      <c r="CN4" s="39">
        <f>CM4*CJ4</f>
        <v>0</v>
      </c>
      <c r="CO4" s="38"/>
      <c r="CP4" s="39">
        <f>CO4*CJ4</f>
        <v>0</v>
      </c>
      <c r="CQ4" s="38"/>
      <c r="CR4" s="39">
        <f>CQ4*CJ4</f>
        <v>0</v>
      </c>
      <c r="CS4" s="41">
        <f t="shared" ref="CS4:CS27" si="1">F4</f>
        <v>0</v>
      </c>
      <c r="CT4" s="41">
        <f t="shared" ref="CT4:CT27" si="2">K4+V4+AG4+AR4+BC4+BN4+BY4+CJ4</f>
        <v>0</v>
      </c>
      <c r="CU4" s="41" t="e">
        <f>M4+O4+Q4+S4+#REF!+X4+Z4+AB4+AD4+#REF!+AI4+AK4+AM4+AO4+#REF!+AT4+AV4+AX4+AZ4+#REF!+BE4+BG4+BI4+BK4+#REF!+BP4+BR4+BT4+BV4+#REF!+CA4+CC4+CE4+CG4+#REF!+CL4+CN4+CP4+CR4+#REF!</f>
        <v>#REF!</v>
      </c>
      <c r="CV4" s="16" t="e">
        <f>IF(AND(CS4=CT4,CT4=CU4,CS4=CU4),0,1)</f>
        <v>#REF!</v>
      </c>
    </row>
    <row r="5" spans="1:100" s="16" customFormat="1" x14ac:dyDescent="0.25">
      <c r="B5" s="2" t="s">
        <v>20</v>
      </c>
      <c r="C5" s="42" t="s">
        <v>21</v>
      </c>
      <c r="D5" s="43">
        <v>1</v>
      </c>
      <c r="E5" s="34">
        <v>50000</v>
      </c>
      <c r="F5" s="94">
        <v>50000</v>
      </c>
      <c r="G5" s="40"/>
      <c r="H5" s="162">
        <v>50000</v>
      </c>
      <c r="I5" s="40"/>
      <c r="J5" s="36">
        <v>1</v>
      </c>
      <c r="K5" s="37">
        <f t="shared" ref="K5:K7" si="3">J5*$F5</f>
        <v>50000</v>
      </c>
      <c r="L5" s="38">
        <v>0.42</v>
      </c>
      <c r="M5" s="39">
        <f t="shared" ref="M5:M7" si="4">L5*K5</f>
        <v>21000</v>
      </c>
      <c r="N5" s="38">
        <v>0.47</v>
      </c>
      <c r="O5" s="39">
        <f t="shared" ref="O5:O7" si="5">N5*K5</f>
        <v>23500</v>
      </c>
      <c r="P5" s="38">
        <v>0.1</v>
      </c>
      <c r="Q5" s="39">
        <f t="shared" ref="Q5:Q7" si="6">P5*K5</f>
        <v>5000</v>
      </c>
      <c r="R5" s="38">
        <v>0.01</v>
      </c>
      <c r="S5" s="39">
        <f t="shared" ref="S5:S7" si="7">R5*K5</f>
        <v>500</v>
      </c>
      <c r="T5" s="40"/>
      <c r="U5" s="36"/>
      <c r="V5" s="37">
        <f t="shared" ref="V5:V7" si="8">U5*$F5</f>
        <v>0</v>
      </c>
      <c r="W5" s="38"/>
      <c r="X5" s="39">
        <f t="shared" ref="X5:X7" si="9">W5*V5</f>
        <v>0</v>
      </c>
      <c r="Y5" s="38"/>
      <c r="Z5" s="39">
        <f t="shared" ref="Z5:Z7" si="10">Y5*V5</f>
        <v>0</v>
      </c>
      <c r="AA5" s="38"/>
      <c r="AB5" s="39">
        <f t="shared" ref="AB5:AB7" si="11">AA5*V5</f>
        <v>0</v>
      </c>
      <c r="AC5" s="38"/>
      <c r="AD5" s="39">
        <f t="shared" ref="AD5:AD7" si="12">AC5*V5</f>
        <v>0</v>
      </c>
      <c r="AE5" s="40"/>
      <c r="AF5" s="36"/>
      <c r="AG5" s="37">
        <f t="shared" ref="AG5:AG7" si="13">AF5*$F5</f>
        <v>0</v>
      </c>
      <c r="AH5" s="38"/>
      <c r="AI5" s="39">
        <f t="shared" ref="AI5:AI7" si="14">AH5*AG5</f>
        <v>0</v>
      </c>
      <c r="AJ5" s="38"/>
      <c r="AK5" s="39">
        <f t="shared" ref="AK5:AK7" si="15">AJ5*AG5</f>
        <v>0</v>
      </c>
      <c r="AL5" s="38"/>
      <c r="AM5" s="39">
        <f t="shared" ref="AM5:AM7" si="16">AL5*AG5</f>
        <v>0</v>
      </c>
      <c r="AN5" s="38"/>
      <c r="AO5" s="39">
        <f t="shared" ref="AO5:AO7" si="17">AN5*AG5</f>
        <v>0</v>
      </c>
      <c r="AP5" s="40"/>
      <c r="AQ5" s="36"/>
      <c r="AR5" s="37">
        <f t="shared" ref="AR5:AR7" si="18">AQ5*$F5</f>
        <v>0</v>
      </c>
      <c r="AS5" s="38"/>
      <c r="AT5" s="39">
        <f t="shared" ref="AT5:AT7" si="19">AS5*AR5</f>
        <v>0</v>
      </c>
      <c r="AU5" s="38"/>
      <c r="AV5" s="39">
        <f t="shared" ref="AV5:AV7" si="20">AU5*AR5</f>
        <v>0</v>
      </c>
      <c r="AW5" s="38"/>
      <c r="AX5" s="39">
        <f t="shared" ref="AX5:AX7" si="21">AW5*AR5</f>
        <v>0</v>
      </c>
      <c r="AY5" s="38"/>
      <c r="AZ5" s="39">
        <f t="shared" ref="AZ5:AZ7" si="22">AY5*AR5</f>
        <v>0</v>
      </c>
      <c r="BA5" s="40"/>
      <c r="BB5" s="36"/>
      <c r="BC5" s="37">
        <f t="shared" ref="BC5:BC7" si="23">BB5*$F5</f>
        <v>0</v>
      </c>
      <c r="BD5" s="38"/>
      <c r="BE5" s="39">
        <f t="shared" ref="BE5:BE7" si="24">BD5*BC5</f>
        <v>0</v>
      </c>
      <c r="BF5" s="38"/>
      <c r="BG5" s="39">
        <f t="shared" ref="BG5:BG7" si="25">BF5*BC5</f>
        <v>0</v>
      </c>
      <c r="BH5" s="38"/>
      <c r="BI5" s="39">
        <f t="shared" ref="BI5:BI7" si="26">BH5*BC5</f>
        <v>0</v>
      </c>
      <c r="BJ5" s="38"/>
      <c r="BK5" s="39">
        <f t="shared" ref="BK5:BK7" si="27">BJ5*BC5</f>
        <v>0</v>
      </c>
      <c r="BL5" s="40"/>
      <c r="BM5" s="36"/>
      <c r="BN5" s="37">
        <f t="shared" ref="BN5:BN7" si="28">BM5*$F5</f>
        <v>0</v>
      </c>
      <c r="BO5" s="38"/>
      <c r="BP5" s="39">
        <f t="shared" ref="BP5:BP7" si="29">BO5*BN5</f>
        <v>0</v>
      </c>
      <c r="BQ5" s="38"/>
      <c r="BR5" s="39">
        <f t="shared" ref="BR5:BR7" si="30">BQ5*BN5</f>
        <v>0</v>
      </c>
      <c r="BS5" s="38"/>
      <c r="BT5" s="39">
        <f t="shared" ref="BT5:BT7" si="31">BS5*BN5</f>
        <v>0</v>
      </c>
      <c r="BU5" s="38"/>
      <c r="BV5" s="39">
        <f t="shared" ref="BV5:BV7" si="32">BU5*BN5</f>
        <v>0</v>
      </c>
      <c r="BW5" s="40"/>
      <c r="BX5" s="36"/>
      <c r="BY5" s="37">
        <f t="shared" ref="BY5:BY7" si="33">BX5*$F5</f>
        <v>0</v>
      </c>
      <c r="BZ5" s="38"/>
      <c r="CA5" s="39">
        <f t="shared" ref="CA5:CA7" si="34">BZ5*BY5</f>
        <v>0</v>
      </c>
      <c r="CB5" s="38"/>
      <c r="CC5" s="39">
        <f t="shared" ref="CC5:CC7" si="35">CB5*BY5</f>
        <v>0</v>
      </c>
      <c r="CD5" s="38"/>
      <c r="CE5" s="39">
        <f t="shared" ref="CE5:CE7" si="36">CD5*BY5</f>
        <v>0</v>
      </c>
      <c r="CF5" s="38"/>
      <c r="CG5" s="39">
        <f t="shared" ref="CG5:CG7" si="37">CF5*BY5</f>
        <v>0</v>
      </c>
      <c r="CH5" s="40"/>
      <c r="CI5" s="36"/>
      <c r="CJ5" s="37">
        <f t="shared" ref="CJ5:CJ7" si="38">CI5*$F5</f>
        <v>0</v>
      </c>
      <c r="CK5" s="38"/>
      <c r="CL5" s="39">
        <f t="shared" ref="CL5:CL7" si="39">CK5*CJ5</f>
        <v>0</v>
      </c>
      <c r="CM5" s="38"/>
      <c r="CN5" s="39">
        <f t="shared" ref="CN5:CN7" si="40">CM5*CJ5</f>
        <v>0</v>
      </c>
      <c r="CO5" s="38"/>
      <c r="CP5" s="39">
        <f t="shared" ref="CP5:CP7" si="41">CO5*CJ5</f>
        <v>0</v>
      </c>
      <c r="CQ5" s="38"/>
      <c r="CR5" s="39">
        <f t="shared" ref="CR5:CR7" si="42">CQ5*CJ5</f>
        <v>0</v>
      </c>
      <c r="CS5" s="41">
        <f t="shared" si="1"/>
        <v>50000</v>
      </c>
      <c r="CT5" s="41">
        <f t="shared" si="2"/>
        <v>50000</v>
      </c>
      <c r="CU5" s="41" t="e">
        <f>M5+O5+Q5+S5+#REF!+X5+Z5+AB5+AD5+#REF!+AI5+AK5+AM5+AO5+#REF!+AT5+AV5+AX5+AZ5+#REF!+BE5+BG5+BI5+BK5+#REF!+BP5+BR5+BT5+BV5+#REF!+CA5+CC5+CE5+CG5+#REF!+CL5+CN5+CP5+CR5+#REF!</f>
        <v>#REF!</v>
      </c>
      <c r="CV5" s="16" t="e">
        <f>IF(AND(CS5=CT5,CT5=CU5,CS5=CU5),0,1)</f>
        <v>#REF!</v>
      </c>
    </row>
    <row r="6" spans="1:100" s="16" customFormat="1" x14ac:dyDescent="0.25">
      <c r="B6" s="2" t="s">
        <v>22</v>
      </c>
      <c r="C6" s="42" t="s">
        <v>21</v>
      </c>
      <c r="D6" s="43">
        <v>1</v>
      </c>
      <c r="E6" s="34">
        <v>150000</v>
      </c>
      <c r="F6" s="94">
        <v>150000</v>
      </c>
      <c r="G6" s="40"/>
      <c r="H6" s="162">
        <v>150000</v>
      </c>
      <c r="I6" s="40"/>
      <c r="J6" s="36">
        <v>1</v>
      </c>
      <c r="K6" s="37">
        <f t="shared" si="3"/>
        <v>150000</v>
      </c>
      <c r="L6" s="38">
        <v>0.42</v>
      </c>
      <c r="M6" s="39">
        <f t="shared" si="4"/>
        <v>63000</v>
      </c>
      <c r="N6" s="38">
        <v>0.47</v>
      </c>
      <c r="O6" s="39">
        <f t="shared" si="5"/>
        <v>70500</v>
      </c>
      <c r="P6" s="38">
        <v>0.1</v>
      </c>
      <c r="Q6" s="39">
        <f t="shared" si="6"/>
        <v>15000</v>
      </c>
      <c r="R6" s="38">
        <v>0.01</v>
      </c>
      <c r="S6" s="39">
        <f t="shared" si="7"/>
        <v>1500</v>
      </c>
      <c r="T6" s="40"/>
      <c r="U6" s="36"/>
      <c r="V6" s="37">
        <f t="shared" si="8"/>
        <v>0</v>
      </c>
      <c r="W6" s="38"/>
      <c r="X6" s="39">
        <f t="shared" si="9"/>
        <v>0</v>
      </c>
      <c r="Y6" s="38"/>
      <c r="Z6" s="39">
        <f t="shared" si="10"/>
        <v>0</v>
      </c>
      <c r="AA6" s="38"/>
      <c r="AB6" s="39">
        <f t="shared" si="11"/>
        <v>0</v>
      </c>
      <c r="AC6" s="38"/>
      <c r="AD6" s="39">
        <f t="shared" si="12"/>
        <v>0</v>
      </c>
      <c r="AE6" s="40"/>
      <c r="AF6" s="36"/>
      <c r="AG6" s="37">
        <f t="shared" si="13"/>
        <v>0</v>
      </c>
      <c r="AH6" s="38"/>
      <c r="AI6" s="39">
        <f t="shared" si="14"/>
        <v>0</v>
      </c>
      <c r="AJ6" s="38"/>
      <c r="AK6" s="39">
        <f t="shared" si="15"/>
        <v>0</v>
      </c>
      <c r="AL6" s="38"/>
      <c r="AM6" s="39">
        <f t="shared" si="16"/>
        <v>0</v>
      </c>
      <c r="AN6" s="38"/>
      <c r="AO6" s="39">
        <f t="shared" si="17"/>
        <v>0</v>
      </c>
      <c r="AP6" s="40"/>
      <c r="AQ6" s="36"/>
      <c r="AR6" s="37">
        <f t="shared" si="18"/>
        <v>0</v>
      </c>
      <c r="AS6" s="38"/>
      <c r="AT6" s="39">
        <f t="shared" si="19"/>
        <v>0</v>
      </c>
      <c r="AU6" s="38"/>
      <c r="AV6" s="39">
        <f t="shared" si="20"/>
        <v>0</v>
      </c>
      <c r="AW6" s="38"/>
      <c r="AX6" s="39">
        <f t="shared" si="21"/>
        <v>0</v>
      </c>
      <c r="AY6" s="38"/>
      <c r="AZ6" s="39">
        <f t="shared" si="22"/>
        <v>0</v>
      </c>
      <c r="BA6" s="40"/>
      <c r="BB6" s="36"/>
      <c r="BC6" s="37">
        <f t="shared" si="23"/>
        <v>0</v>
      </c>
      <c r="BD6" s="38"/>
      <c r="BE6" s="39">
        <f t="shared" si="24"/>
        <v>0</v>
      </c>
      <c r="BF6" s="38"/>
      <c r="BG6" s="39">
        <f t="shared" si="25"/>
        <v>0</v>
      </c>
      <c r="BH6" s="38"/>
      <c r="BI6" s="39">
        <f t="shared" si="26"/>
        <v>0</v>
      </c>
      <c r="BJ6" s="38"/>
      <c r="BK6" s="39">
        <f t="shared" si="27"/>
        <v>0</v>
      </c>
      <c r="BL6" s="40"/>
      <c r="BM6" s="36"/>
      <c r="BN6" s="37">
        <f t="shared" si="28"/>
        <v>0</v>
      </c>
      <c r="BO6" s="38"/>
      <c r="BP6" s="39">
        <f t="shared" si="29"/>
        <v>0</v>
      </c>
      <c r="BQ6" s="38"/>
      <c r="BR6" s="39">
        <f t="shared" si="30"/>
        <v>0</v>
      </c>
      <c r="BS6" s="38"/>
      <c r="BT6" s="39">
        <f t="shared" si="31"/>
        <v>0</v>
      </c>
      <c r="BU6" s="38"/>
      <c r="BV6" s="39">
        <f t="shared" si="32"/>
        <v>0</v>
      </c>
      <c r="BW6" s="40"/>
      <c r="BX6" s="36"/>
      <c r="BY6" s="37">
        <f t="shared" si="33"/>
        <v>0</v>
      </c>
      <c r="BZ6" s="38"/>
      <c r="CA6" s="39">
        <f t="shared" si="34"/>
        <v>0</v>
      </c>
      <c r="CB6" s="38"/>
      <c r="CC6" s="39">
        <f t="shared" si="35"/>
        <v>0</v>
      </c>
      <c r="CD6" s="38"/>
      <c r="CE6" s="39">
        <f t="shared" si="36"/>
        <v>0</v>
      </c>
      <c r="CF6" s="38"/>
      <c r="CG6" s="39">
        <f t="shared" si="37"/>
        <v>0</v>
      </c>
      <c r="CH6" s="40"/>
      <c r="CI6" s="36"/>
      <c r="CJ6" s="37">
        <f t="shared" si="38"/>
        <v>0</v>
      </c>
      <c r="CK6" s="38"/>
      <c r="CL6" s="39">
        <f t="shared" si="39"/>
        <v>0</v>
      </c>
      <c r="CM6" s="38"/>
      <c r="CN6" s="39">
        <f t="shared" si="40"/>
        <v>0</v>
      </c>
      <c r="CO6" s="38"/>
      <c r="CP6" s="39">
        <f t="shared" si="41"/>
        <v>0</v>
      </c>
      <c r="CQ6" s="38"/>
      <c r="CR6" s="39">
        <f t="shared" si="42"/>
        <v>0</v>
      </c>
      <c r="CS6" s="41">
        <f t="shared" si="1"/>
        <v>150000</v>
      </c>
      <c r="CT6" s="41">
        <f t="shared" si="2"/>
        <v>150000</v>
      </c>
      <c r="CU6" s="41" t="e">
        <f>M6+O6+Q6+S6+#REF!+X6+Z6+AB6+AD6+#REF!+AI6+AK6+AM6+AO6+#REF!+AT6+AV6+AX6+AZ6+#REF!+BE6+BG6+BI6+BK6+#REF!+BP6+BR6+BT6+BV6+#REF!+CA6+CC6+CE6+CG6+#REF!+CL6+CN6+CP6+CR6+#REF!</f>
        <v>#REF!</v>
      </c>
      <c r="CV6" s="16" t="e">
        <f t="shared" ref="CV6:CV84" si="43">IF(AND(CS6=CT6,CT6=CU6,CS6=CU6),0,1)</f>
        <v>#REF!</v>
      </c>
    </row>
    <row r="7" spans="1:100" s="16" customFormat="1" x14ac:dyDescent="0.25">
      <c r="B7" s="44" t="s">
        <v>23</v>
      </c>
      <c r="C7" s="42" t="s">
        <v>21</v>
      </c>
      <c r="D7" s="43">
        <v>1</v>
      </c>
      <c r="E7" s="34">
        <v>30000</v>
      </c>
      <c r="F7" s="94">
        <v>30000</v>
      </c>
      <c r="G7" s="40"/>
      <c r="H7" s="162">
        <v>30000</v>
      </c>
      <c r="I7" s="40"/>
      <c r="J7" s="36">
        <v>1</v>
      </c>
      <c r="K7" s="37">
        <f t="shared" si="3"/>
        <v>30000</v>
      </c>
      <c r="L7" s="38">
        <v>0.42</v>
      </c>
      <c r="M7" s="39">
        <f t="shared" si="4"/>
        <v>12600</v>
      </c>
      <c r="N7" s="38">
        <v>0.47</v>
      </c>
      <c r="O7" s="39">
        <f t="shared" si="5"/>
        <v>14100</v>
      </c>
      <c r="P7" s="38">
        <v>0.1</v>
      </c>
      <c r="Q7" s="39">
        <f t="shared" si="6"/>
        <v>3000</v>
      </c>
      <c r="R7" s="38">
        <v>0.01</v>
      </c>
      <c r="S7" s="39">
        <f t="shared" si="7"/>
        <v>300</v>
      </c>
      <c r="T7" s="40"/>
      <c r="U7" s="36"/>
      <c r="V7" s="37">
        <f t="shared" si="8"/>
        <v>0</v>
      </c>
      <c r="W7" s="38"/>
      <c r="X7" s="39">
        <f t="shared" si="9"/>
        <v>0</v>
      </c>
      <c r="Y7" s="38"/>
      <c r="Z7" s="39">
        <f t="shared" si="10"/>
        <v>0</v>
      </c>
      <c r="AA7" s="38"/>
      <c r="AB7" s="39">
        <f t="shared" si="11"/>
        <v>0</v>
      </c>
      <c r="AC7" s="38"/>
      <c r="AD7" s="39">
        <f t="shared" si="12"/>
        <v>0</v>
      </c>
      <c r="AE7" s="40"/>
      <c r="AF7" s="36"/>
      <c r="AG7" s="37">
        <f t="shared" si="13"/>
        <v>0</v>
      </c>
      <c r="AH7" s="38"/>
      <c r="AI7" s="39">
        <f t="shared" si="14"/>
        <v>0</v>
      </c>
      <c r="AJ7" s="38"/>
      <c r="AK7" s="39">
        <f t="shared" si="15"/>
        <v>0</v>
      </c>
      <c r="AL7" s="38"/>
      <c r="AM7" s="39">
        <f t="shared" si="16"/>
        <v>0</v>
      </c>
      <c r="AN7" s="38"/>
      <c r="AO7" s="39">
        <f t="shared" si="17"/>
        <v>0</v>
      </c>
      <c r="AP7" s="40"/>
      <c r="AQ7" s="36"/>
      <c r="AR7" s="37">
        <f t="shared" si="18"/>
        <v>0</v>
      </c>
      <c r="AS7" s="38"/>
      <c r="AT7" s="39">
        <f t="shared" si="19"/>
        <v>0</v>
      </c>
      <c r="AU7" s="38"/>
      <c r="AV7" s="39">
        <f t="shared" si="20"/>
        <v>0</v>
      </c>
      <c r="AW7" s="38"/>
      <c r="AX7" s="39">
        <f t="shared" si="21"/>
        <v>0</v>
      </c>
      <c r="AY7" s="38"/>
      <c r="AZ7" s="39">
        <f t="shared" si="22"/>
        <v>0</v>
      </c>
      <c r="BA7" s="40"/>
      <c r="BB7" s="36"/>
      <c r="BC7" s="37">
        <f t="shared" si="23"/>
        <v>0</v>
      </c>
      <c r="BD7" s="38"/>
      <c r="BE7" s="39">
        <f t="shared" si="24"/>
        <v>0</v>
      </c>
      <c r="BF7" s="38"/>
      <c r="BG7" s="39">
        <f t="shared" si="25"/>
        <v>0</v>
      </c>
      <c r="BH7" s="38"/>
      <c r="BI7" s="39">
        <f t="shared" si="26"/>
        <v>0</v>
      </c>
      <c r="BJ7" s="38"/>
      <c r="BK7" s="39">
        <f t="shared" si="27"/>
        <v>0</v>
      </c>
      <c r="BL7" s="40"/>
      <c r="BM7" s="36"/>
      <c r="BN7" s="37">
        <f t="shared" si="28"/>
        <v>0</v>
      </c>
      <c r="BO7" s="38"/>
      <c r="BP7" s="39">
        <f t="shared" si="29"/>
        <v>0</v>
      </c>
      <c r="BQ7" s="38"/>
      <c r="BR7" s="39">
        <f t="shared" si="30"/>
        <v>0</v>
      </c>
      <c r="BS7" s="38"/>
      <c r="BT7" s="39">
        <f t="shared" si="31"/>
        <v>0</v>
      </c>
      <c r="BU7" s="38"/>
      <c r="BV7" s="39">
        <f t="shared" si="32"/>
        <v>0</v>
      </c>
      <c r="BW7" s="40"/>
      <c r="BX7" s="36"/>
      <c r="BY7" s="37">
        <f t="shared" si="33"/>
        <v>0</v>
      </c>
      <c r="BZ7" s="38"/>
      <c r="CA7" s="39">
        <f t="shared" si="34"/>
        <v>0</v>
      </c>
      <c r="CB7" s="38"/>
      <c r="CC7" s="39">
        <f t="shared" si="35"/>
        <v>0</v>
      </c>
      <c r="CD7" s="38"/>
      <c r="CE7" s="39">
        <f t="shared" si="36"/>
        <v>0</v>
      </c>
      <c r="CF7" s="38"/>
      <c r="CG7" s="39">
        <f t="shared" si="37"/>
        <v>0</v>
      </c>
      <c r="CH7" s="40"/>
      <c r="CI7" s="36"/>
      <c r="CJ7" s="37">
        <f t="shared" si="38"/>
        <v>0</v>
      </c>
      <c r="CK7" s="38"/>
      <c r="CL7" s="39">
        <f t="shared" si="39"/>
        <v>0</v>
      </c>
      <c r="CM7" s="38"/>
      <c r="CN7" s="39">
        <f t="shared" si="40"/>
        <v>0</v>
      </c>
      <c r="CO7" s="38"/>
      <c r="CP7" s="39">
        <f t="shared" si="41"/>
        <v>0</v>
      </c>
      <c r="CQ7" s="38"/>
      <c r="CR7" s="39">
        <f t="shared" si="42"/>
        <v>0</v>
      </c>
      <c r="CS7" s="41">
        <f t="shared" si="1"/>
        <v>30000</v>
      </c>
      <c r="CT7" s="41">
        <f t="shared" si="2"/>
        <v>30000</v>
      </c>
      <c r="CU7" s="41" t="e">
        <f>M7+O7+Q7+S7+#REF!+X7+Z7+AB7+AD7+#REF!+AI7+AK7+AM7+AO7+#REF!+AT7+AV7+AX7+AZ7+#REF!+BE7+BG7+BI7+BK7+#REF!+BP7+BR7+BT7+BV7+#REF!+CA7+CC7+CE7+CG7+#REF!+CL7+CN7+CP7+CR7+#REF!</f>
        <v>#REF!</v>
      </c>
      <c r="CV7" s="16" t="e">
        <f t="shared" si="43"/>
        <v>#REF!</v>
      </c>
    </row>
    <row r="8" spans="1:100" s="16" customFormat="1" x14ac:dyDescent="0.25">
      <c r="B8" s="2"/>
      <c r="C8" s="45"/>
      <c r="D8" s="43"/>
      <c r="E8" s="34"/>
      <c r="F8" s="102"/>
      <c r="G8" s="40"/>
      <c r="H8" s="162">
        <v>0</v>
      </c>
      <c r="I8" s="40"/>
      <c r="J8" s="36"/>
      <c r="K8" s="37">
        <f t="shared" ref="K8:K27" si="44">J8*$F8</f>
        <v>0</v>
      </c>
      <c r="L8" s="38"/>
      <c r="M8" s="39">
        <f t="shared" ref="M8:M27" si="45">L8*K8</f>
        <v>0</v>
      </c>
      <c r="N8" s="38"/>
      <c r="O8" s="39">
        <f t="shared" ref="O8:O27" si="46">N8*K8</f>
        <v>0</v>
      </c>
      <c r="P8" s="38"/>
      <c r="Q8" s="39">
        <f t="shared" ref="Q8:Q27" si="47">P8*K8</f>
        <v>0</v>
      </c>
      <c r="R8" s="38"/>
      <c r="S8" s="39">
        <f t="shared" ref="S8:S27" si="48">R8*K8</f>
        <v>0</v>
      </c>
      <c r="T8" s="40"/>
      <c r="U8" s="36"/>
      <c r="V8" s="37">
        <f t="shared" ref="V8:V27" si="49">U8*$F8</f>
        <v>0</v>
      </c>
      <c r="W8" s="38"/>
      <c r="X8" s="39">
        <f t="shared" ref="X8:X27" si="50">W8*V8</f>
        <v>0</v>
      </c>
      <c r="Y8" s="38"/>
      <c r="Z8" s="39">
        <f t="shared" ref="Z8:Z27" si="51">Y8*V8</f>
        <v>0</v>
      </c>
      <c r="AA8" s="38"/>
      <c r="AB8" s="39">
        <f t="shared" ref="AB8:AB27" si="52">AA8*V8</f>
        <v>0</v>
      </c>
      <c r="AC8" s="38"/>
      <c r="AD8" s="39">
        <f t="shared" ref="AD8:AD27" si="53">AC8*V8</f>
        <v>0</v>
      </c>
      <c r="AE8" s="40"/>
      <c r="AF8" s="36"/>
      <c r="AG8" s="37">
        <f t="shared" ref="AG8:AG27" si="54">AF8*$F8</f>
        <v>0</v>
      </c>
      <c r="AH8" s="38"/>
      <c r="AI8" s="39">
        <f t="shared" ref="AI8:AI27" si="55">AH8*AG8</f>
        <v>0</v>
      </c>
      <c r="AJ8" s="38"/>
      <c r="AK8" s="39">
        <f t="shared" ref="AK8:AK27" si="56">AJ8*AG8</f>
        <v>0</v>
      </c>
      <c r="AL8" s="38"/>
      <c r="AM8" s="39">
        <f t="shared" ref="AM8:AM27" si="57">AL8*AG8</f>
        <v>0</v>
      </c>
      <c r="AN8" s="38"/>
      <c r="AO8" s="39">
        <f t="shared" ref="AO8:AO27" si="58">AN8*AG8</f>
        <v>0</v>
      </c>
      <c r="AP8" s="40"/>
      <c r="AQ8" s="36"/>
      <c r="AR8" s="37">
        <f t="shared" ref="AR8:AR27" si="59">AQ8*$F8</f>
        <v>0</v>
      </c>
      <c r="AS8" s="38"/>
      <c r="AT8" s="39">
        <f t="shared" ref="AT8:AT27" si="60">AS8*AR8</f>
        <v>0</v>
      </c>
      <c r="AU8" s="38"/>
      <c r="AV8" s="39">
        <f t="shared" ref="AV8:AV27" si="61">AU8*AR8</f>
        <v>0</v>
      </c>
      <c r="AW8" s="38"/>
      <c r="AX8" s="39">
        <f t="shared" ref="AX8:AX27" si="62">AW8*AR8</f>
        <v>0</v>
      </c>
      <c r="AY8" s="38"/>
      <c r="AZ8" s="39">
        <f t="shared" ref="AZ8:AZ27" si="63">AY8*AR8</f>
        <v>0</v>
      </c>
      <c r="BA8" s="40"/>
      <c r="BB8" s="36"/>
      <c r="BC8" s="37">
        <f t="shared" ref="BC8:BC27" si="64">BB8*$F8</f>
        <v>0</v>
      </c>
      <c r="BD8" s="38"/>
      <c r="BE8" s="39">
        <f t="shared" ref="BE8:BE27" si="65">BD8*BC8</f>
        <v>0</v>
      </c>
      <c r="BF8" s="38"/>
      <c r="BG8" s="39">
        <f t="shared" ref="BG8:BG27" si="66">BF8*BC8</f>
        <v>0</v>
      </c>
      <c r="BH8" s="38"/>
      <c r="BI8" s="39">
        <f t="shared" ref="BI8:BI27" si="67">BH8*BC8</f>
        <v>0</v>
      </c>
      <c r="BJ8" s="38"/>
      <c r="BK8" s="39">
        <f t="shared" ref="BK8:BK27" si="68">BJ8*BC8</f>
        <v>0</v>
      </c>
      <c r="BL8" s="40"/>
      <c r="BM8" s="36"/>
      <c r="BN8" s="37">
        <f t="shared" ref="BN8:BN27" si="69">BM8*$F8</f>
        <v>0</v>
      </c>
      <c r="BO8" s="38"/>
      <c r="BP8" s="39">
        <f t="shared" ref="BP8:BP27" si="70">BO8*BN8</f>
        <v>0</v>
      </c>
      <c r="BQ8" s="38"/>
      <c r="BR8" s="39">
        <f t="shared" ref="BR8:BR27" si="71">BQ8*BN8</f>
        <v>0</v>
      </c>
      <c r="BS8" s="38"/>
      <c r="BT8" s="39">
        <f t="shared" ref="BT8:BT27" si="72">BS8*BN8</f>
        <v>0</v>
      </c>
      <c r="BU8" s="38"/>
      <c r="BV8" s="39">
        <f t="shared" ref="BV8:BV27" si="73">BU8*BN8</f>
        <v>0</v>
      </c>
      <c r="BW8" s="40"/>
      <c r="BX8" s="36"/>
      <c r="BY8" s="37">
        <f t="shared" ref="BY8:BY27" si="74">BX8*$F8</f>
        <v>0</v>
      </c>
      <c r="BZ8" s="38"/>
      <c r="CA8" s="39">
        <f t="shared" ref="CA8:CA27" si="75">BZ8*BY8</f>
        <v>0</v>
      </c>
      <c r="CB8" s="38"/>
      <c r="CC8" s="39">
        <f t="shared" ref="CC8:CC27" si="76">CB8*BY8</f>
        <v>0</v>
      </c>
      <c r="CD8" s="38"/>
      <c r="CE8" s="39">
        <f t="shared" ref="CE8:CE27" si="77">CD8*BY8</f>
        <v>0</v>
      </c>
      <c r="CF8" s="38"/>
      <c r="CG8" s="39">
        <f t="shared" ref="CG8:CG27" si="78">CF8*BY8</f>
        <v>0</v>
      </c>
      <c r="CH8" s="40"/>
      <c r="CI8" s="36"/>
      <c r="CJ8" s="37">
        <f t="shared" ref="CJ8:CJ27" si="79">CI8*$F8</f>
        <v>0</v>
      </c>
      <c r="CK8" s="38"/>
      <c r="CL8" s="39">
        <f t="shared" ref="CL8:CL27" si="80">CK8*CJ8</f>
        <v>0</v>
      </c>
      <c r="CM8" s="38"/>
      <c r="CN8" s="39">
        <f t="shared" ref="CN8:CN27" si="81">CM8*CJ8</f>
        <v>0</v>
      </c>
      <c r="CO8" s="38"/>
      <c r="CP8" s="39">
        <f t="shared" ref="CP8:CP27" si="82">CO8*CJ8</f>
        <v>0</v>
      </c>
      <c r="CQ8" s="38"/>
      <c r="CR8" s="39">
        <f t="shared" ref="CR8:CR27" si="83">CQ8*CJ8</f>
        <v>0</v>
      </c>
      <c r="CS8" s="41">
        <f t="shared" si="1"/>
        <v>0</v>
      </c>
      <c r="CT8" s="41">
        <f t="shared" si="2"/>
        <v>0</v>
      </c>
      <c r="CU8" s="41" t="e">
        <f>M8+O8+Q8+S8+#REF!+X8+Z8+AB8+AD8+#REF!+AI8+AK8+AM8+AO8+#REF!+AT8+AV8+AX8+AZ8+#REF!+BE8+BG8+BI8+BK8+#REF!+BP8+BR8+BT8+BV8+#REF!+CA8+CC8+CE8+CG8+#REF!+CL8+CN8+CP8+CR8+#REF!</f>
        <v>#REF!</v>
      </c>
      <c r="CV8" s="16" t="e">
        <f t="shared" si="43"/>
        <v>#REF!</v>
      </c>
    </row>
    <row r="9" spans="1:100" x14ac:dyDescent="0.25">
      <c r="A9" s="1" t="s">
        <v>24</v>
      </c>
      <c r="C9" s="45"/>
      <c r="D9" s="43"/>
      <c r="E9" s="34"/>
      <c r="F9" s="102">
        <f t="shared" si="0"/>
        <v>0</v>
      </c>
      <c r="G9" s="40"/>
      <c r="H9" s="162">
        <v>0</v>
      </c>
      <c r="I9" s="40"/>
      <c r="J9" s="36"/>
      <c r="K9" s="37">
        <f t="shared" si="44"/>
        <v>0</v>
      </c>
      <c r="L9" s="38"/>
      <c r="M9" s="39">
        <f t="shared" si="45"/>
        <v>0</v>
      </c>
      <c r="N9" s="38"/>
      <c r="O9" s="39">
        <f t="shared" si="46"/>
        <v>0</v>
      </c>
      <c r="P9" s="38"/>
      <c r="Q9" s="39">
        <f t="shared" si="47"/>
        <v>0</v>
      </c>
      <c r="R9" s="38"/>
      <c r="S9" s="39">
        <f t="shared" si="48"/>
        <v>0</v>
      </c>
      <c r="T9" s="40"/>
      <c r="U9" s="36"/>
      <c r="V9" s="37">
        <f t="shared" si="49"/>
        <v>0</v>
      </c>
      <c r="W9" s="38"/>
      <c r="X9" s="39">
        <f t="shared" si="50"/>
        <v>0</v>
      </c>
      <c r="Y9" s="38"/>
      <c r="Z9" s="39">
        <f t="shared" si="51"/>
        <v>0</v>
      </c>
      <c r="AA9" s="38"/>
      <c r="AB9" s="39">
        <f t="shared" si="52"/>
        <v>0</v>
      </c>
      <c r="AC9" s="38"/>
      <c r="AD9" s="39">
        <f t="shared" si="53"/>
        <v>0</v>
      </c>
      <c r="AE9" s="40"/>
      <c r="AF9" s="36"/>
      <c r="AG9" s="37">
        <f t="shared" si="54"/>
        <v>0</v>
      </c>
      <c r="AH9" s="38"/>
      <c r="AI9" s="39">
        <f t="shared" si="55"/>
        <v>0</v>
      </c>
      <c r="AJ9" s="38"/>
      <c r="AK9" s="39">
        <f t="shared" si="56"/>
        <v>0</v>
      </c>
      <c r="AL9" s="38"/>
      <c r="AM9" s="39">
        <f t="shared" si="57"/>
        <v>0</v>
      </c>
      <c r="AN9" s="38"/>
      <c r="AO9" s="39">
        <f t="shared" si="58"/>
        <v>0</v>
      </c>
      <c r="AP9" s="40"/>
      <c r="AQ9" s="36"/>
      <c r="AR9" s="37">
        <f t="shared" si="59"/>
        <v>0</v>
      </c>
      <c r="AS9" s="38"/>
      <c r="AT9" s="39">
        <f t="shared" si="60"/>
        <v>0</v>
      </c>
      <c r="AU9" s="38"/>
      <c r="AV9" s="39">
        <f t="shared" si="61"/>
        <v>0</v>
      </c>
      <c r="AW9" s="38"/>
      <c r="AX9" s="39">
        <f t="shared" si="62"/>
        <v>0</v>
      </c>
      <c r="AY9" s="38"/>
      <c r="AZ9" s="39">
        <f t="shared" si="63"/>
        <v>0</v>
      </c>
      <c r="BA9" s="40"/>
      <c r="BB9" s="36"/>
      <c r="BC9" s="37">
        <f t="shared" si="64"/>
        <v>0</v>
      </c>
      <c r="BD9" s="38"/>
      <c r="BE9" s="39">
        <f t="shared" si="65"/>
        <v>0</v>
      </c>
      <c r="BF9" s="38"/>
      <c r="BG9" s="39">
        <f t="shared" si="66"/>
        <v>0</v>
      </c>
      <c r="BH9" s="38"/>
      <c r="BI9" s="39">
        <f t="shared" si="67"/>
        <v>0</v>
      </c>
      <c r="BJ9" s="38"/>
      <c r="BK9" s="39">
        <f t="shared" si="68"/>
        <v>0</v>
      </c>
      <c r="BL9" s="40"/>
      <c r="BM9" s="36"/>
      <c r="BN9" s="37">
        <f t="shared" si="69"/>
        <v>0</v>
      </c>
      <c r="BO9" s="38"/>
      <c r="BP9" s="39">
        <f t="shared" si="70"/>
        <v>0</v>
      </c>
      <c r="BQ9" s="38"/>
      <c r="BR9" s="39">
        <f t="shared" si="71"/>
        <v>0</v>
      </c>
      <c r="BS9" s="38"/>
      <c r="BT9" s="39">
        <f t="shared" si="72"/>
        <v>0</v>
      </c>
      <c r="BU9" s="38"/>
      <c r="BV9" s="39">
        <f t="shared" si="73"/>
        <v>0</v>
      </c>
      <c r="BW9" s="40"/>
      <c r="BX9" s="36"/>
      <c r="BY9" s="37">
        <f t="shared" si="74"/>
        <v>0</v>
      </c>
      <c r="BZ9" s="38"/>
      <c r="CA9" s="39">
        <f t="shared" si="75"/>
        <v>0</v>
      </c>
      <c r="CB9" s="38"/>
      <c r="CC9" s="39">
        <f t="shared" si="76"/>
        <v>0</v>
      </c>
      <c r="CD9" s="38"/>
      <c r="CE9" s="39">
        <f t="shared" si="77"/>
        <v>0</v>
      </c>
      <c r="CF9" s="38"/>
      <c r="CG9" s="39">
        <f t="shared" si="78"/>
        <v>0</v>
      </c>
      <c r="CH9" s="40"/>
      <c r="CI9" s="36"/>
      <c r="CJ9" s="37">
        <f t="shared" si="79"/>
        <v>0</v>
      </c>
      <c r="CK9" s="38"/>
      <c r="CL9" s="39">
        <f t="shared" si="80"/>
        <v>0</v>
      </c>
      <c r="CM9" s="38"/>
      <c r="CN9" s="39">
        <f t="shared" si="81"/>
        <v>0</v>
      </c>
      <c r="CO9" s="38"/>
      <c r="CP9" s="39">
        <f t="shared" si="82"/>
        <v>0</v>
      </c>
      <c r="CQ9" s="38"/>
      <c r="CR9" s="39">
        <f t="shared" si="83"/>
        <v>0</v>
      </c>
      <c r="CS9" s="41">
        <f t="shared" si="1"/>
        <v>0</v>
      </c>
      <c r="CT9" s="41">
        <f t="shared" si="2"/>
        <v>0</v>
      </c>
      <c r="CU9" s="41" t="e">
        <f>M9+O9+Q9+S9+#REF!+X9+Z9+AB9+AD9+#REF!+AI9+AK9+AM9+AO9+#REF!+AT9+AV9+AX9+AZ9+#REF!+BE9+BG9+BI9+BK9+#REF!+BP9+BR9+BT9+BV9+#REF!+CA9+CC9+CE9+CG9+#REF!+CL9+CN9+CP9+CR9+#REF!</f>
        <v>#REF!</v>
      </c>
      <c r="CV9" s="16" t="e">
        <f t="shared" si="43"/>
        <v>#REF!</v>
      </c>
    </row>
    <row r="10" spans="1:100" x14ac:dyDescent="0.25">
      <c r="A10" s="2"/>
      <c r="B10" s="2" t="s">
        <v>25</v>
      </c>
      <c r="C10" s="42" t="s">
        <v>21</v>
      </c>
      <c r="D10" s="53">
        <v>1</v>
      </c>
      <c r="E10" s="34">
        <v>200000</v>
      </c>
      <c r="F10" s="94">
        <v>200000</v>
      </c>
      <c r="G10" s="40"/>
      <c r="H10" s="162">
        <v>200000</v>
      </c>
      <c r="I10" s="40"/>
      <c r="J10" s="36">
        <v>0.125</v>
      </c>
      <c r="K10" s="37">
        <f t="shared" si="44"/>
        <v>25000</v>
      </c>
      <c r="L10" s="38">
        <v>0.42</v>
      </c>
      <c r="M10" s="39">
        <f t="shared" si="45"/>
        <v>10500</v>
      </c>
      <c r="N10" s="38">
        <v>0.47</v>
      </c>
      <c r="O10" s="39">
        <f t="shared" si="46"/>
        <v>11750</v>
      </c>
      <c r="P10" s="38">
        <v>0.1</v>
      </c>
      <c r="Q10" s="39">
        <f t="shared" si="47"/>
        <v>2500</v>
      </c>
      <c r="R10" s="38">
        <v>0.01</v>
      </c>
      <c r="S10" s="39">
        <f t="shared" si="48"/>
        <v>250</v>
      </c>
      <c r="T10" s="40"/>
      <c r="U10" s="36">
        <v>0.125</v>
      </c>
      <c r="V10" s="37">
        <f t="shared" si="49"/>
        <v>25000</v>
      </c>
      <c r="W10" s="38">
        <v>0.42</v>
      </c>
      <c r="X10" s="39">
        <f t="shared" si="50"/>
        <v>10500</v>
      </c>
      <c r="Y10" s="38">
        <v>0.47</v>
      </c>
      <c r="Z10" s="39">
        <f t="shared" si="51"/>
        <v>11750</v>
      </c>
      <c r="AA10" s="38">
        <v>0.1</v>
      </c>
      <c r="AB10" s="39">
        <f t="shared" si="52"/>
        <v>2500</v>
      </c>
      <c r="AC10" s="38">
        <v>0.01</v>
      </c>
      <c r="AD10" s="39">
        <f t="shared" si="53"/>
        <v>250</v>
      </c>
      <c r="AE10" s="40"/>
      <c r="AF10" s="36">
        <v>0.125</v>
      </c>
      <c r="AG10" s="37">
        <f t="shared" si="54"/>
        <v>25000</v>
      </c>
      <c r="AH10" s="38">
        <v>0.42</v>
      </c>
      <c r="AI10" s="39">
        <f t="shared" si="55"/>
        <v>10500</v>
      </c>
      <c r="AJ10" s="38">
        <v>0.47</v>
      </c>
      <c r="AK10" s="39">
        <f t="shared" si="56"/>
        <v>11750</v>
      </c>
      <c r="AL10" s="38">
        <v>0.1</v>
      </c>
      <c r="AM10" s="39">
        <f t="shared" si="57"/>
        <v>2500</v>
      </c>
      <c r="AN10" s="38">
        <v>0.01</v>
      </c>
      <c r="AO10" s="39">
        <f t="shared" si="58"/>
        <v>250</v>
      </c>
      <c r="AP10" s="40"/>
      <c r="AQ10" s="36">
        <v>0.125</v>
      </c>
      <c r="AR10" s="37">
        <f t="shared" si="59"/>
        <v>25000</v>
      </c>
      <c r="AS10" s="38">
        <v>0.42</v>
      </c>
      <c r="AT10" s="39">
        <f t="shared" si="60"/>
        <v>10500</v>
      </c>
      <c r="AU10" s="38">
        <v>0.47</v>
      </c>
      <c r="AV10" s="39">
        <f t="shared" si="61"/>
        <v>11750</v>
      </c>
      <c r="AW10" s="38">
        <v>0.1</v>
      </c>
      <c r="AX10" s="39">
        <f t="shared" si="62"/>
        <v>2500</v>
      </c>
      <c r="AY10" s="38">
        <v>0.01</v>
      </c>
      <c r="AZ10" s="39">
        <f t="shared" si="63"/>
        <v>250</v>
      </c>
      <c r="BA10" s="40"/>
      <c r="BB10" s="36">
        <v>0.125</v>
      </c>
      <c r="BC10" s="37">
        <f t="shared" si="64"/>
        <v>25000</v>
      </c>
      <c r="BD10" s="38">
        <v>0.42</v>
      </c>
      <c r="BE10" s="39">
        <f t="shared" si="65"/>
        <v>10500</v>
      </c>
      <c r="BF10" s="38">
        <v>0.47</v>
      </c>
      <c r="BG10" s="39">
        <f t="shared" si="66"/>
        <v>11750</v>
      </c>
      <c r="BH10" s="38">
        <v>0.1</v>
      </c>
      <c r="BI10" s="39">
        <f t="shared" si="67"/>
        <v>2500</v>
      </c>
      <c r="BJ10" s="38">
        <v>0.01</v>
      </c>
      <c r="BK10" s="39">
        <f t="shared" si="68"/>
        <v>250</v>
      </c>
      <c r="BL10" s="40"/>
      <c r="BM10" s="36">
        <v>0.125</v>
      </c>
      <c r="BN10" s="37">
        <f t="shared" si="69"/>
        <v>25000</v>
      </c>
      <c r="BO10" s="38">
        <v>0.42</v>
      </c>
      <c r="BP10" s="39">
        <f t="shared" si="70"/>
        <v>10500</v>
      </c>
      <c r="BQ10" s="38">
        <v>0.47</v>
      </c>
      <c r="BR10" s="39">
        <f t="shared" si="71"/>
        <v>11750</v>
      </c>
      <c r="BS10" s="38">
        <v>0.1</v>
      </c>
      <c r="BT10" s="39">
        <f t="shared" si="72"/>
        <v>2500</v>
      </c>
      <c r="BU10" s="38">
        <v>0.01</v>
      </c>
      <c r="BV10" s="39">
        <f t="shared" si="73"/>
        <v>250</v>
      </c>
      <c r="BW10" s="40"/>
      <c r="BX10" s="36">
        <v>0.125</v>
      </c>
      <c r="BY10" s="37">
        <f t="shared" si="74"/>
        <v>25000</v>
      </c>
      <c r="BZ10" s="38">
        <v>0.42</v>
      </c>
      <c r="CA10" s="39">
        <f t="shared" si="75"/>
        <v>10500</v>
      </c>
      <c r="CB10" s="38">
        <v>0.47</v>
      </c>
      <c r="CC10" s="39">
        <f t="shared" si="76"/>
        <v>11750</v>
      </c>
      <c r="CD10" s="38">
        <v>0.1</v>
      </c>
      <c r="CE10" s="39">
        <f t="shared" si="77"/>
        <v>2500</v>
      </c>
      <c r="CF10" s="38">
        <v>0.01</v>
      </c>
      <c r="CG10" s="39">
        <f t="shared" si="78"/>
        <v>250</v>
      </c>
      <c r="CH10" s="40"/>
      <c r="CI10" s="36">
        <v>0.125</v>
      </c>
      <c r="CJ10" s="37">
        <f t="shared" si="79"/>
        <v>25000</v>
      </c>
      <c r="CK10" s="38">
        <v>0.42</v>
      </c>
      <c r="CL10" s="39">
        <f t="shared" si="80"/>
        <v>10500</v>
      </c>
      <c r="CM10" s="38">
        <v>0.47</v>
      </c>
      <c r="CN10" s="39">
        <f t="shared" si="81"/>
        <v>11750</v>
      </c>
      <c r="CO10" s="38">
        <v>0.1</v>
      </c>
      <c r="CP10" s="39">
        <f t="shared" si="82"/>
        <v>2500</v>
      </c>
      <c r="CQ10" s="38">
        <v>0.01</v>
      </c>
      <c r="CR10" s="39">
        <f t="shared" si="83"/>
        <v>250</v>
      </c>
      <c r="CS10" s="41">
        <f t="shared" si="1"/>
        <v>200000</v>
      </c>
      <c r="CT10" s="41">
        <f t="shared" si="2"/>
        <v>200000</v>
      </c>
      <c r="CU10" s="41" t="e">
        <f>M10+O10+Q10+S10+#REF!+X10+Z10+AB10+AD10+#REF!+AI10+AK10+AM10+AO10+#REF!+AT10+AV10+AX10+AZ10+#REF!+BE10+BG10+BI10+BK10+#REF!+BP10+BR10+BT10+BV10+#REF!+CA10+CC10+CE10+CG10+#REF!+CL10+CN10+CP10+CR10+#REF!</f>
        <v>#REF!</v>
      </c>
      <c r="CV10" s="16" t="e">
        <f t="shared" si="43"/>
        <v>#REF!</v>
      </c>
    </row>
    <row r="11" spans="1:100" x14ac:dyDescent="0.25">
      <c r="B11" s="46" t="s">
        <v>26</v>
      </c>
      <c r="C11" s="42" t="s">
        <v>27</v>
      </c>
      <c r="D11" s="53">
        <v>50000</v>
      </c>
      <c r="E11" s="191">
        <f>H11*$K$106</f>
        <v>4.5918000000000001</v>
      </c>
      <c r="F11" s="94">
        <v>225000</v>
      </c>
      <c r="G11" s="40"/>
      <c r="H11" s="162">
        <v>4.5</v>
      </c>
      <c r="I11" s="40"/>
      <c r="J11" s="36"/>
      <c r="K11" s="37">
        <f t="shared" si="44"/>
        <v>0</v>
      </c>
      <c r="L11" s="38"/>
      <c r="M11" s="39">
        <f t="shared" si="45"/>
        <v>0</v>
      </c>
      <c r="N11" s="38"/>
      <c r="O11" s="39">
        <f t="shared" si="46"/>
        <v>0</v>
      </c>
      <c r="P11" s="38"/>
      <c r="Q11" s="39">
        <f t="shared" si="47"/>
        <v>0</v>
      </c>
      <c r="R11" s="38"/>
      <c r="S11" s="39">
        <f t="shared" si="48"/>
        <v>0</v>
      </c>
      <c r="T11" s="40"/>
      <c r="U11" s="36">
        <v>1</v>
      </c>
      <c r="V11" s="37">
        <f t="shared" si="49"/>
        <v>225000</v>
      </c>
      <c r="W11" s="38">
        <v>0.42</v>
      </c>
      <c r="X11" s="39">
        <f t="shared" si="50"/>
        <v>94500</v>
      </c>
      <c r="Y11" s="38">
        <v>0.47</v>
      </c>
      <c r="Z11" s="39">
        <f t="shared" si="51"/>
        <v>105750</v>
      </c>
      <c r="AA11" s="38">
        <v>0.1</v>
      </c>
      <c r="AB11" s="39">
        <f t="shared" si="52"/>
        <v>22500</v>
      </c>
      <c r="AC11" s="38">
        <v>0.01</v>
      </c>
      <c r="AD11" s="39">
        <f t="shared" si="53"/>
        <v>2250</v>
      </c>
      <c r="AE11" s="40"/>
      <c r="AF11" s="36"/>
      <c r="AG11" s="37">
        <f t="shared" si="54"/>
        <v>0</v>
      </c>
      <c r="AH11" s="38"/>
      <c r="AI11" s="39">
        <f t="shared" si="55"/>
        <v>0</v>
      </c>
      <c r="AJ11" s="38"/>
      <c r="AK11" s="39">
        <f t="shared" si="56"/>
        <v>0</v>
      </c>
      <c r="AL11" s="38"/>
      <c r="AM11" s="39">
        <f t="shared" si="57"/>
        <v>0</v>
      </c>
      <c r="AN11" s="38"/>
      <c r="AO11" s="39">
        <f t="shared" si="58"/>
        <v>0</v>
      </c>
      <c r="AP11" s="40"/>
      <c r="AQ11" s="36"/>
      <c r="AR11" s="37">
        <f t="shared" si="59"/>
        <v>0</v>
      </c>
      <c r="AS11" s="38"/>
      <c r="AT11" s="39">
        <f t="shared" si="60"/>
        <v>0</v>
      </c>
      <c r="AU11" s="38"/>
      <c r="AV11" s="39">
        <f t="shared" si="61"/>
        <v>0</v>
      </c>
      <c r="AW11" s="38"/>
      <c r="AX11" s="39">
        <f t="shared" si="62"/>
        <v>0</v>
      </c>
      <c r="AY11" s="38"/>
      <c r="AZ11" s="39">
        <f t="shared" si="63"/>
        <v>0</v>
      </c>
      <c r="BA11" s="40"/>
      <c r="BB11" s="36"/>
      <c r="BC11" s="37">
        <f t="shared" si="64"/>
        <v>0</v>
      </c>
      <c r="BD11" s="38"/>
      <c r="BE11" s="39">
        <f t="shared" si="65"/>
        <v>0</v>
      </c>
      <c r="BF11" s="38"/>
      <c r="BG11" s="39">
        <f t="shared" si="66"/>
        <v>0</v>
      </c>
      <c r="BH11" s="38"/>
      <c r="BI11" s="39">
        <f t="shared" si="67"/>
        <v>0</v>
      </c>
      <c r="BJ11" s="38"/>
      <c r="BK11" s="39">
        <f t="shared" si="68"/>
        <v>0</v>
      </c>
      <c r="BL11" s="40"/>
      <c r="BM11" s="36"/>
      <c r="BN11" s="37">
        <f t="shared" si="69"/>
        <v>0</v>
      </c>
      <c r="BO11" s="38"/>
      <c r="BP11" s="39">
        <f t="shared" si="70"/>
        <v>0</v>
      </c>
      <c r="BQ11" s="38"/>
      <c r="BR11" s="39">
        <f t="shared" si="71"/>
        <v>0</v>
      </c>
      <c r="BS11" s="38"/>
      <c r="BT11" s="39">
        <f t="shared" si="72"/>
        <v>0</v>
      </c>
      <c r="BU11" s="38"/>
      <c r="BV11" s="39">
        <f t="shared" si="73"/>
        <v>0</v>
      </c>
      <c r="BW11" s="40"/>
      <c r="BX11" s="36"/>
      <c r="BY11" s="37">
        <f t="shared" si="74"/>
        <v>0</v>
      </c>
      <c r="BZ11" s="38"/>
      <c r="CA11" s="39">
        <f t="shared" si="75"/>
        <v>0</v>
      </c>
      <c r="CB11" s="38"/>
      <c r="CC11" s="39">
        <f t="shared" si="76"/>
        <v>0</v>
      </c>
      <c r="CD11" s="38"/>
      <c r="CE11" s="39">
        <f t="shared" si="77"/>
        <v>0</v>
      </c>
      <c r="CF11" s="38"/>
      <c r="CG11" s="39">
        <f t="shared" si="78"/>
        <v>0</v>
      </c>
      <c r="CH11" s="40"/>
      <c r="CI11" s="36"/>
      <c r="CJ11" s="37">
        <f t="shared" si="79"/>
        <v>0</v>
      </c>
      <c r="CK11" s="38"/>
      <c r="CL11" s="39">
        <f t="shared" si="80"/>
        <v>0</v>
      </c>
      <c r="CM11" s="38"/>
      <c r="CN11" s="39">
        <f t="shared" si="81"/>
        <v>0</v>
      </c>
      <c r="CO11" s="38"/>
      <c r="CP11" s="39">
        <f t="shared" si="82"/>
        <v>0</v>
      </c>
      <c r="CQ11" s="38"/>
      <c r="CR11" s="39">
        <f t="shared" si="83"/>
        <v>0</v>
      </c>
      <c r="CS11" s="41">
        <f t="shared" si="1"/>
        <v>225000</v>
      </c>
      <c r="CT11" s="41">
        <f t="shared" si="2"/>
        <v>225000</v>
      </c>
      <c r="CU11" s="41" t="e">
        <f>M11+O11+Q11+S11+#REF!+X11+Z11+AB11+AD11+#REF!+AI11+AK11+AM11+AO11+#REF!+AT11+AV11+AX11+AZ11+#REF!+BE11+BG11+BI11+BK11+#REF!+BP11+BR11+BT11+BV11+#REF!+CA11+CC11+CE11+CG11+#REF!+CL11+CN11+CP11+CR11+#REF!</f>
        <v>#REF!</v>
      </c>
      <c r="CV11" s="16" t="e">
        <f t="shared" si="43"/>
        <v>#REF!</v>
      </c>
    </row>
    <row r="12" spans="1:100" x14ac:dyDescent="0.25">
      <c r="B12" s="46" t="s">
        <v>28</v>
      </c>
      <c r="C12" s="42" t="s">
        <v>21</v>
      </c>
      <c r="D12" s="53">
        <v>1</v>
      </c>
      <c r="E12" s="34">
        <v>100000</v>
      </c>
      <c r="F12" s="94">
        <v>100000</v>
      </c>
      <c r="G12" s="40"/>
      <c r="H12" s="162">
        <v>100000</v>
      </c>
      <c r="I12" s="40"/>
      <c r="J12" s="36">
        <v>0.125</v>
      </c>
      <c r="K12" s="37">
        <f t="shared" si="44"/>
        <v>12500</v>
      </c>
      <c r="L12" s="38">
        <v>0.42</v>
      </c>
      <c r="M12" s="39">
        <f t="shared" si="45"/>
        <v>5250</v>
      </c>
      <c r="N12" s="38">
        <v>0.47</v>
      </c>
      <c r="O12" s="39">
        <f t="shared" si="46"/>
        <v>5875</v>
      </c>
      <c r="P12" s="38">
        <v>0.1</v>
      </c>
      <c r="Q12" s="39">
        <f t="shared" si="47"/>
        <v>1250</v>
      </c>
      <c r="R12" s="38">
        <v>0.01</v>
      </c>
      <c r="S12" s="39">
        <f t="shared" si="48"/>
        <v>125</v>
      </c>
      <c r="T12" s="40"/>
      <c r="U12" s="36">
        <v>0.125</v>
      </c>
      <c r="V12" s="37">
        <f t="shared" si="49"/>
        <v>12500</v>
      </c>
      <c r="W12" s="38">
        <v>0.42</v>
      </c>
      <c r="X12" s="39">
        <f t="shared" si="50"/>
        <v>5250</v>
      </c>
      <c r="Y12" s="38">
        <v>0.47</v>
      </c>
      <c r="Z12" s="39">
        <f t="shared" si="51"/>
        <v>5875</v>
      </c>
      <c r="AA12" s="38">
        <v>0.1</v>
      </c>
      <c r="AB12" s="39">
        <f t="shared" si="52"/>
        <v>1250</v>
      </c>
      <c r="AC12" s="38">
        <v>0.01</v>
      </c>
      <c r="AD12" s="39">
        <f t="shared" si="53"/>
        <v>125</v>
      </c>
      <c r="AE12" s="40"/>
      <c r="AF12" s="36">
        <v>0.125</v>
      </c>
      <c r="AG12" s="37">
        <f t="shared" si="54"/>
        <v>12500</v>
      </c>
      <c r="AH12" s="38">
        <v>0.42</v>
      </c>
      <c r="AI12" s="39">
        <f t="shared" si="55"/>
        <v>5250</v>
      </c>
      <c r="AJ12" s="38">
        <v>0.47</v>
      </c>
      <c r="AK12" s="39">
        <f t="shared" si="56"/>
        <v>5875</v>
      </c>
      <c r="AL12" s="38">
        <v>0.1</v>
      </c>
      <c r="AM12" s="39">
        <f t="shared" si="57"/>
        <v>1250</v>
      </c>
      <c r="AN12" s="38">
        <v>0.01</v>
      </c>
      <c r="AO12" s="39">
        <f t="shared" si="58"/>
        <v>125</v>
      </c>
      <c r="AP12" s="40"/>
      <c r="AQ12" s="36">
        <v>0.125</v>
      </c>
      <c r="AR12" s="37">
        <f t="shared" si="59"/>
        <v>12500</v>
      </c>
      <c r="AS12" s="38">
        <v>0.42</v>
      </c>
      <c r="AT12" s="39">
        <f t="shared" si="60"/>
        <v>5250</v>
      </c>
      <c r="AU12" s="38">
        <v>0.47</v>
      </c>
      <c r="AV12" s="39">
        <f t="shared" si="61"/>
        <v>5875</v>
      </c>
      <c r="AW12" s="38">
        <v>0.1</v>
      </c>
      <c r="AX12" s="39">
        <f t="shared" si="62"/>
        <v>1250</v>
      </c>
      <c r="AY12" s="38">
        <v>0.01</v>
      </c>
      <c r="AZ12" s="39">
        <f t="shared" si="63"/>
        <v>125</v>
      </c>
      <c r="BA12" s="40"/>
      <c r="BB12" s="36">
        <v>0.125</v>
      </c>
      <c r="BC12" s="37">
        <f t="shared" si="64"/>
        <v>12500</v>
      </c>
      <c r="BD12" s="38">
        <v>0.42</v>
      </c>
      <c r="BE12" s="39">
        <f t="shared" si="65"/>
        <v>5250</v>
      </c>
      <c r="BF12" s="38">
        <v>0.47</v>
      </c>
      <c r="BG12" s="39">
        <f t="shared" si="66"/>
        <v>5875</v>
      </c>
      <c r="BH12" s="38">
        <v>0.1</v>
      </c>
      <c r="BI12" s="39">
        <f t="shared" si="67"/>
        <v>1250</v>
      </c>
      <c r="BJ12" s="38">
        <v>0.01</v>
      </c>
      <c r="BK12" s="39">
        <f t="shared" si="68"/>
        <v>125</v>
      </c>
      <c r="BL12" s="40"/>
      <c r="BM12" s="36">
        <v>0.125</v>
      </c>
      <c r="BN12" s="37">
        <f t="shared" si="69"/>
        <v>12500</v>
      </c>
      <c r="BO12" s="38">
        <v>0.42</v>
      </c>
      <c r="BP12" s="39">
        <f t="shared" si="70"/>
        <v>5250</v>
      </c>
      <c r="BQ12" s="38">
        <v>0.47</v>
      </c>
      <c r="BR12" s="39">
        <f t="shared" si="71"/>
        <v>5875</v>
      </c>
      <c r="BS12" s="38">
        <v>0.1</v>
      </c>
      <c r="BT12" s="39">
        <f t="shared" si="72"/>
        <v>1250</v>
      </c>
      <c r="BU12" s="38">
        <v>0.01</v>
      </c>
      <c r="BV12" s="39">
        <f t="shared" si="73"/>
        <v>125</v>
      </c>
      <c r="BW12" s="40"/>
      <c r="BX12" s="36">
        <v>0.125</v>
      </c>
      <c r="BY12" s="37">
        <f t="shared" si="74"/>
        <v>12500</v>
      </c>
      <c r="BZ12" s="38">
        <v>0.42</v>
      </c>
      <c r="CA12" s="39">
        <f t="shared" si="75"/>
        <v>5250</v>
      </c>
      <c r="CB12" s="38">
        <v>0.47</v>
      </c>
      <c r="CC12" s="39">
        <f t="shared" si="76"/>
        <v>5875</v>
      </c>
      <c r="CD12" s="38">
        <v>0.1</v>
      </c>
      <c r="CE12" s="39">
        <f t="shared" si="77"/>
        <v>1250</v>
      </c>
      <c r="CF12" s="38">
        <v>0.01</v>
      </c>
      <c r="CG12" s="39">
        <f t="shared" si="78"/>
        <v>125</v>
      </c>
      <c r="CH12" s="40"/>
      <c r="CI12" s="36">
        <v>0.125</v>
      </c>
      <c r="CJ12" s="37">
        <f t="shared" si="79"/>
        <v>12500</v>
      </c>
      <c r="CK12" s="38">
        <v>0.42</v>
      </c>
      <c r="CL12" s="39">
        <f t="shared" si="80"/>
        <v>5250</v>
      </c>
      <c r="CM12" s="38">
        <v>0.47</v>
      </c>
      <c r="CN12" s="39">
        <f t="shared" si="81"/>
        <v>5875</v>
      </c>
      <c r="CO12" s="38">
        <v>0.1</v>
      </c>
      <c r="CP12" s="39">
        <f t="shared" si="82"/>
        <v>1250</v>
      </c>
      <c r="CQ12" s="38">
        <v>0.01</v>
      </c>
      <c r="CR12" s="39">
        <f t="shared" si="83"/>
        <v>125</v>
      </c>
      <c r="CS12" s="41">
        <f t="shared" si="1"/>
        <v>100000</v>
      </c>
      <c r="CT12" s="41">
        <f t="shared" si="2"/>
        <v>100000</v>
      </c>
      <c r="CU12" s="41" t="e">
        <f>M12+O12+Q12+S12+#REF!+X12+Z12+AB12+AD12+#REF!+AI12+AK12+AM12+AO12+#REF!+AT12+AV12+AX12+AZ12+#REF!+BE12+BG12+BI12+BK12+#REF!+BP12+BR12+BT12+BV12+#REF!+CA12+CC12+CE12+CG12+#REF!+CL12+CN12+CP12+CR12+#REF!</f>
        <v>#REF!</v>
      </c>
      <c r="CV12" s="16" t="e">
        <f t="shared" si="43"/>
        <v>#REF!</v>
      </c>
    </row>
    <row r="13" spans="1:100" x14ac:dyDescent="0.25">
      <c r="B13" s="48" t="s">
        <v>29</v>
      </c>
      <c r="C13" s="42" t="s">
        <v>21</v>
      </c>
      <c r="D13" s="53">
        <v>1</v>
      </c>
      <c r="E13" s="34">
        <v>150000</v>
      </c>
      <c r="F13" s="94">
        <v>150000</v>
      </c>
      <c r="G13" s="40"/>
      <c r="H13" s="162">
        <v>150000</v>
      </c>
      <c r="I13" s="40"/>
      <c r="J13" s="36"/>
      <c r="K13" s="37">
        <f t="shared" si="44"/>
        <v>0</v>
      </c>
      <c r="L13" s="38"/>
      <c r="M13" s="39">
        <f t="shared" si="45"/>
        <v>0</v>
      </c>
      <c r="N13" s="38"/>
      <c r="O13" s="39">
        <f t="shared" si="46"/>
        <v>0</v>
      </c>
      <c r="P13" s="38"/>
      <c r="Q13" s="39">
        <f t="shared" si="47"/>
        <v>0</v>
      </c>
      <c r="R13" s="38"/>
      <c r="S13" s="39">
        <f t="shared" si="48"/>
        <v>0</v>
      </c>
      <c r="T13" s="40"/>
      <c r="U13" s="36"/>
      <c r="V13" s="37">
        <f t="shared" si="49"/>
        <v>0</v>
      </c>
      <c r="W13" s="38"/>
      <c r="X13" s="39">
        <f t="shared" si="50"/>
        <v>0</v>
      </c>
      <c r="Y13" s="38"/>
      <c r="Z13" s="39">
        <f t="shared" si="51"/>
        <v>0</v>
      </c>
      <c r="AA13" s="38"/>
      <c r="AB13" s="39">
        <f t="shared" si="52"/>
        <v>0</v>
      </c>
      <c r="AC13" s="38"/>
      <c r="AD13" s="39">
        <f t="shared" si="53"/>
        <v>0</v>
      </c>
      <c r="AE13" s="40"/>
      <c r="AF13" s="36"/>
      <c r="AG13" s="37">
        <f t="shared" si="54"/>
        <v>0</v>
      </c>
      <c r="AH13" s="38"/>
      <c r="AI13" s="39">
        <f t="shared" si="55"/>
        <v>0</v>
      </c>
      <c r="AJ13" s="38"/>
      <c r="AK13" s="39">
        <f t="shared" si="56"/>
        <v>0</v>
      </c>
      <c r="AL13" s="38"/>
      <c r="AM13" s="39">
        <f t="shared" si="57"/>
        <v>0</v>
      </c>
      <c r="AN13" s="38"/>
      <c r="AO13" s="39">
        <f t="shared" si="58"/>
        <v>0</v>
      </c>
      <c r="AP13" s="40"/>
      <c r="AQ13" s="36">
        <v>0.05</v>
      </c>
      <c r="AR13" s="37">
        <f t="shared" si="59"/>
        <v>7500</v>
      </c>
      <c r="AS13" s="38">
        <v>0.42</v>
      </c>
      <c r="AT13" s="39">
        <f t="shared" si="60"/>
        <v>3150</v>
      </c>
      <c r="AU13" s="38">
        <v>0.47</v>
      </c>
      <c r="AV13" s="39">
        <f t="shared" si="61"/>
        <v>3525</v>
      </c>
      <c r="AW13" s="38">
        <v>0.1</v>
      </c>
      <c r="AX13" s="39">
        <f t="shared" si="62"/>
        <v>750</v>
      </c>
      <c r="AY13" s="38">
        <v>0.01</v>
      </c>
      <c r="AZ13" s="39">
        <f t="shared" si="63"/>
        <v>75</v>
      </c>
      <c r="BA13" s="40"/>
      <c r="BB13" s="36">
        <v>0.95</v>
      </c>
      <c r="BC13" s="37">
        <f t="shared" si="64"/>
        <v>142500</v>
      </c>
      <c r="BD13" s="38">
        <v>0.42</v>
      </c>
      <c r="BE13" s="39">
        <f t="shared" si="65"/>
        <v>59850</v>
      </c>
      <c r="BF13" s="38">
        <v>0.47</v>
      </c>
      <c r="BG13" s="39">
        <f t="shared" si="66"/>
        <v>66975</v>
      </c>
      <c r="BH13" s="38">
        <v>0.1</v>
      </c>
      <c r="BI13" s="39">
        <f t="shared" si="67"/>
        <v>14250</v>
      </c>
      <c r="BJ13" s="38">
        <v>0.01</v>
      </c>
      <c r="BK13" s="39">
        <f t="shared" si="68"/>
        <v>1425</v>
      </c>
      <c r="BL13" s="40"/>
      <c r="BM13" s="36"/>
      <c r="BN13" s="37">
        <f t="shared" si="69"/>
        <v>0</v>
      </c>
      <c r="BO13" s="38"/>
      <c r="BP13" s="39">
        <f t="shared" si="70"/>
        <v>0</v>
      </c>
      <c r="BQ13" s="38"/>
      <c r="BR13" s="39">
        <f t="shared" si="71"/>
        <v>0</v>
      </c>
      <c r="BS13" s="38"/>
      <c r="BT13" s="39">
        <f t="shared" si="72"/>
        <v>0</v>
      </c>
      <c r="BU13" s="38"/>
      <c r="BV13" s="39">
        <f t="shared" si="73"/>
        <v>0</v>
      </c>
      <c r="BW13" s="40"/>
      <c r="BX13" s="36"/>
      <c r="BY13" s="37">
        <f t="shared" si="74"/>
        <v>0</v>
      </c>
      <c r="BZ13" s="38"/>
      <c r="CA13" s="39">
        <f t="shared" si="75"/>
        <v>0</v>
      </c>
      <c r="CB13" s="38"/>
      <c r="CC13" s="39">
        <f t="shared" si="76"/>
        <v>0</v>
      </c>
      <c r="CD13" s="38"/>
      <c r="CE13" s="39">
        <f t="shared" si="77"/>
        <v>0</v>
      </c>
      <c r="CF13" s="38"/>
      <c r="CG13" s="39">
        <f t="shared" si="78"/>
        <v>0</v>
      </c>
      <c r="CH13" s="40"/>
      <c r="CI13" s="36"/>
      <c r="CJ13" s="37">
        <f t="shared" si="79"/>
        <v>0</v>
      </c>
      <c r="CK13" s="38"/>
      <c r="CL13" s="39">
        <f t="shared" si="80"/>
        <v>0</v>
      </c>
      <c r="CM13" s="38"/>
      <c r="CN13" s="39">
        <f t="shared" si="81"/>
        <v>0</v>
      </c>
      <c r="CO13" s="38"/>
      <c r="CP13" s="39">
        <f t="shared" si="82"/>
        <v>0</v>
      </c>
      <c r="CQ13" s="38"/>
      <c r="CR13" s="39">
        <f t="shared" si="83"/>
        <v>0</v>
      </c>
      <c r="CS13" s="41">
        <f t="shared" si="1"/>
        <v>150000</v>
      </c>
      <c r="CT13" s="41">
        <f t="shared" si="2"/>
        <v>150000</v>
      </c>
      <c r="CU13" s="41" t="e">
        <f>M13+O13+Q13+S13+#REF!+X13+Z13+AB13+AD13+#REF!+AI13+AK13+AM13+AO13+#REF!+AT13+AV13+AX13+AZ13+#REF!+BE13+BG13+BI13+BK13+#REF!+BP13+BR13+BT13+BV13+#REF!+CA13+CC13+CE13+CG13+#REF!+CL13+CN13+CP13+CR13+#REF!</f>
        <v>#REF!</v>
      </c>
      <c r="CV13" s="16" t="e">
        <f t="shared" si="43"/>
        <v>#REF!</v>
      </c>
    </row>
    <row r="14" spans="1:100" x14ac:dyDescent="0.25">
      <c r="B14" s="46" t="s">
        <v>30</v>
      </c>
      <c r="C14" s="42" t="s">
        <v>21</v>
      </c>
      <c r="D14" s="53">
        <v>1</v>
      </c>
      <c r="E14" s="34">
        <v>150000</v>
      </c>
      <c r="F14" s="94">
        <v>150000</v>
      </c>
      <c r="G14" s="40"/>
      <c r="H14" s="162">
        <v>150000</v>
      </c>
      <c r="I14" s="40"/>
      <c r="J14" s="36"/>
      <c r="K14" s="37">
        <f t="shared" si="44"/>
        <v>0</v>
      </c>
      <c r="L14" s="38"/>
      <c r="M14" s="39">
        <f t="shared" si="45"/>
        <v>0</v>
      </c>
      <c r="N14" s="38"/>
      <c r="O14" s="39">
        <f t="shared" si="46"/>
        <v>0</v>
      </c>
      <c r="P14" s="38"/>
      <c r="Q14" s="39">
        <f t="shared" si="47"/>
        <v>0</v>
      </c>
      <c r="R14" s="38"/>
      <c r="S14" s="39">
        <f t="shared" si="48"/>
        <v>0</v>
      </c>
      <c r="T14" s="40"/>
      <c r="U14" s="36"/>
      <c r="V14" s="37">
        <f t="shared" si="49"/>
        <v>0</v>
      </c>
      <c r="W14" s="38"/>
      <c r="X14" s="39">
        <f t="shared" si="50"/>
        <v>0</v>
      </c>
      <c r="Y14" s="38"/>
      <c r="Z14" s="39">
        <f t="shared" si="51"/>
        <v>0</v>
      </c>
      <c r="AA14" s="38"/>
      <c r="AB14" s="39">
        <f t="shared" si="52"/>
        <v>0</v>
      </c>
      <c r="AC14" s="38"/>
      <c r="AD14" s="39">
        <f t="shared" si="53"/>
        <v>0</v>
      </c>
      <c r="AE14" s="40"/>
      <c r="AF14" s="36"/>
      <c r="AG14" s="37">
        <f t="shared" si="54"/>
        <v>0</v>
      </c>
      <c r="AH14" s="38"/>
      <c r="AI14" s="39">
        <f t="shared" si="55"/>
        <v>0</v>
      </c>
      <c r="AJ14" s="38"/>
      <c r="AK14" s="39">
        <f t="shared" si="56"/>
        <v>0</v>
      </c>
      <c r="AL14" s="38"/>
      <c r="AM14" s="39">
        <f t="shared" si="57"/>
        <v>0</v>
      </c>
      <c r="AN14" s="38"/>
      <c r="AO14" s="39">
        <f t="shared" si="58"/>
        <v>0</v>
      </c>
      <c r="AP14" s="40"/>
      <c r="AQ14" s="36"/>
      <c r="AR14" s="37">
        <f t="shared" si="59"/>
        <v>0</v>
      </c>
      <c r="AS14" s="38"/>
      <c r="AT14" s="39">
        <f t="shared" si="60"/>
        <v>0</v>
      </c>
      <c r="AU14" s="38"/>
      <c r="AV14" s="39">
        <f t="shared" si="61"/>
        <v>0</v>
      </c>
      <c r="AW14" s="38"/>
      <c r="AX14" s="39">
        <f t="shared" si="62"/>
        <v>0</v>
      </c>
      <c r="AY14" s="38"/>
      <c r="AZ14" s="39">
        <f t="shared" si="63"/>
        <v>0</v>
      </c>
      <c r="BA14" s="40"/>
      <c r="BB14" s="36"/>
      <c r="BC14" s="37">
        <f t="shared" si="64"/>
        <v>0</v>
      </c>
      <c r="BD14" s="38"/>
      <c r="BE14" s="39">
        <f t="shared" si="65"/>
        <v>0</v>
      </c>
      <c r="BF14" s="38"/>
      <c r="BG14" s="39">
        <f t="shared" si="66"/>
        <v>0</v>
      </c>
      <c r="BH14" s="38"/>
      <c r="BI14" s="39">
        <f t="shared" si="67"/>
        <v>0</v>
      </c>
      <c r="BJ14" s="38"/>
      <c r="BK14" s="39">
        <f t="shared" si="68"/>
        <v>0</v>
      </c>
      <c r="BL14" s="40"/>
      <c r="BM14" s="36">
        <v>1</v>
      </c>
      <c r="BN14" s="37">
        <f t="shared" si="69"/>
        <v>150000</v>
      </c>
      <c r="BO14" s="38">
        <v>0.42</v>
      </c>
      <c r="BP14" s="39">
        <f t="shared" si="70"/>
        <v>63000</v>
      </c>
      <c r="BQ14" s="38">
        <v>0.47</v>
      </c>
      <c r="BR14" s="39">
        <f t="shared" si="71"/>
        <v>70500</v>
      </c>
      <c r="BS14" s="38">
        <v>0.1</v>
      </c>
      <c r="BT14" s="39">
        <f t="shared" si="72"/>
        <v>15000</v>
      </c>
      <c r="BU14" s="38">
        <v>0.01</v>
      </c>
      <c r="BV14" s="39">
        <f t="shared" si="73"/>
        <v>1500</v>
      </c>
      <c r="BW14" s="40"/>
      <c r="BX14" s="36"/>
      <c r="BY14" s="37">
        <f t="shared" si="74"/>
        <v>0</v>
      </c>
      <c r="BZ14" s="38"/>
      <c r="CA14" s="39">
        <f t="shared" si="75"/>
        <v>0</v>
      </c>
      <c r="CB14" s="38"/>
      <c r="CC14" s="39">
        <f t="shared" si="76"/>
        <v>0</v>
      </c>
      <c r="CD14" s="38"/>
      <c r="CE14" s="39">
        <f t="shared" si="77"/>
        <v>0</v>
      </c>
      <c r="CF14" s="38"/>
      <c r="CG14" s="39">
        <f t="shared" si="78"/>
        <v>0</v>
      </c>
      <c r="CH14" s="40"/>
      <c r="CI14" s="36"/>
      <c r="CJ14" s="37">
        <f t="shared" si="79"/>
        <v>0</v>
      </c>
      <c r="CK14" s="38"/>
      <c r="CL14" s="39">
        <f t="shared" si="80"/>
        <v>0</v>
      </c>
      <c r="CM14" s="38"/>
      <c r="CN14" s="39">
        <f t="shared" si="81"/>
        <v>0</v>
      </c>
      <c r="CO14" s="38"/>
      <c r="CP14" s="39">
        <f t="shared" si="82"/>
        <v>0</v>
      </c>
      <c r="CQ14" s="38"/>
      <c r="CR14" s="39">
        <f t="shared" si="83"/>
        <v>0</v>
      </c>
      <c r="CS14" s="41">
        <f t="shared" si="1"/>
        <v>150000</v>
      </c>
      <c r="CT14" s="41">
        <f t="shared" si="2"/>
        <v>150000</v>
      </c>
      <c r="CU14" s="41" t="e">
        <f>M14+O14+Q14+S14+#REF!+X14+Z14+AB14+AD14+#REF!+AI14+AK14+AM14+AO14+#REF!+AT14+AV14+AX14+AZ14+#REF!+BE14+BG14+BI14+BK14+#REF!+BP14+BR14+BT14+BV14+#REF!+CA14+CC14+CE14+CG14+#REF!+CL14+CN14+CP14+CR14+#REF!</f>
        <v>#REF!</v>
      </c>
      <c r="CV14" s="16" t="e">
        <f t="shared" si="43"/>
        <v>#REF!</v>
      </c>
    </row>
    <row r="15" spans="1:100" x14ac:dyDescent="0.25">
      <c r="A15" s="2"/>
      <c r="B15" s="2" t="s">
        <v>31</v>
      </c>
      <c r="C15" s="42" t="s">
        <v>27</v>
      </c>
      <c r="D15" s="53">
        <v>2500000</v>
      </c>
      <c r="E15" s="191">
        <f>H15*$K$106</f>
        <v>0.25509999999999999</v>
      </c>
      <c r="F15" s="94">
        <v>625000</v>
      </c>
      <c r="G15" s="40"/>
      <c r="H15" s="162">
        <v>0.25</v>
      </c>
      <c r="I15" s="40"/>
      <c r="J15" s="36"/>
      <c r="K15" s="37">
        <f t="shared" si="44"/>
        <v>0</v>
      </c>
      <c r="L15" s="38"/>
      <c r="M15" s="39">
        <f t="shared" si="45"/>
        <v>0</v>
      </c>
      <c r="N15" s="38"/>
      <c r="O15" s="39">
        <f t="shared" si="46"/>
        <v>0</v>
      </c>
      <c r="P15" s="38"/>
      <c r="Q15" s="39">
        <f t="shared" si="47"/>
        <v>0</v>
      </c>
      <c r="R15" s="38"/>
      <c r="S15" s="39">
        <f t="shared" si="48"/>
        <v>0</v>
      </c>
      <c r="T15" s="40"/>
      <c r="U15" s="36">
        <v>1</v>
      </c>
      <c r="V15" s="37">
        <f t="shared" si="49"/>
        <v>625000</v>
      </c>
      <c r="W15" s="38">
        <v>0.42</v>
      </c>
      <c r="X15" s="39">
        <f t="shared" si="50"/>
        <v>262500</v>
      </c>
      <c r="Y15" s="38">
        <v>0.47</v>
      </c>
      <c r="Z15" s="39">
        <f t="shared" si="51"/>
        <v>293750</v>
      </c>
      <c r="AA15" s="38">
        <v>0.1</v>
      </c>
      <c r="AB15" s="39">
        <f t="shared" si="52"/>
        <v>62500</v>
      </c>
      <c r="AC15" s="38">
        <v>0.01</v>
      </c>
      <c r="AD15" s="39">
        <f t="shared" si="53"/>
        <v>6250</v>
      </c>
      <c r="AE15" s="40"/>
      <c r="AF15" s="36"/>
      <c r="AG15" s="37">
        <f t="shared" si="54"/>
        <v>0</v>
      </c>
      <c r="AH15" s="38"/>
      <c r="AI15" s="39">
        <f t="shared" si="55"/>
        <v>0</v>
      </c>
      <c r="AJ15" s="38"/>
      <c r="AK15" s="39">
        <f t="shared" si="56"/>
        <v>0</v>
      </c>
      <c r="AL15" s="38"/>
      <c r="AM15" s="39">
        <f t="shared" si="57"/>
        <v>0</v>
      </c>
      <c r="AN15" s="38"/>
      <c r="AO15" s="39">
        <f t="shared" si="58"/>
        <v>0</v>
      </c>
      <c r="AP15" s="40"/>
      <c r="AQ15" s="36"/>
      <c r="AR15" s="37">
        <f t="shared" si="59"/>
        <v>0</v>
      </c>
      <c r="AS15" s="38"/>
      <c r="AT15" s="39">
        <f t="shared" si="60"/>
        <v>0</v>
      </c>
      <c r="AU15" s="38"/>
      <c r="AV15" s="39">
        <f t="shared" si="61"/>
        <v>0</v>
      </c>
      <c r="AW15" s="38"/>
      <c r="AX15" s="39">
        <f t="shared" si="62"/>
        <v>0</v>
      </c>
      <c r="AY15" s="38"/>
      <c r="AZ15" s="39">
        <f t="shared" si="63"/>
        <v>0</v>
      </c>
      <c r="BA15" s="40"/>
      <c r="BB15" s="36"/>
      <c r="BC15" s="37">
        <f t="shared" si="64"/>
        <v>0</v>
      </c>
      <c r="BD15" s="38"/>
      <c r="BE15" s="39">
        <f t="shared" si="65"/>
        <v>0</v>
      </c>
      <c r="BF15" s="38"/>
      <c r="BG15" s="39">
        <f t="shared" si="66"/>
        <v>0</v>
      </c>
      <c r="BH15" s="38"/>
      <c r="BI15" s="39">
        <f t="shared" si="67"/>
        <v>0</v>
      </c>
      <c r="BJ15" s="38"/>
      <c r="BK15" s="39">
        <f t="shared" si="68"/>
        <v>0</v>
      </c>
      <c r="BL15" s="40"/>
      <c r="BM15" s="36"/>
      <c r="BN15" s="37">
        <f t="shared" si="69"/>
        <v>0</v>
      </c>
      <c r="BO15" s="38"/>
      <c r="BP15" s="39">
        <f t="shared" si="70"/>
        <v>0</v>
      </c>
      <c r="BQ15" s="38"/>
      <c r="BR15" s="39">
        <f t="shared" si="71"/>
        <v>0</v>
      </c>
      <c r="BS15" s="38"/>
      <c r="BT15" s="39">
        <f t="shared" si="72"/>
        <v>0</v>
      </c>
      <c r="BU15" s="38"/>
      <c r="BV15" s="39">
        <f t="shared" si="73"/>
        <v>0</v>
      </c>
      <c r="BW15" s="40"/>
      <c r="BX15" s="36"/>
      <c r="BY15" s="37">
        <f t="shared" si="74"/>
        <v>0</v>
      </c>
      <c r="BZ15" s="38"/>
      <c r="CA15" s="39">
        <f t="shared" si="75"/>
        <v>0</v>
      </c>
      <c r="CB15" s="38"/>
      <c r="CC15" s="39">
        <f t="shared" si="76"/>
        <v>0</v>
      </c>
      <c r="CD15" s="38"/>
      <c r="CE15" s="39">
        <f t="shared" si="77"/>
        <v>0</v>
      </c>
      <c r="CF15" s="38"/>
      <c r="CG15" s="39">
        <f t="shared" si="78"/>
        <v>0</v>
      </c>
      <c r="CH15" s="40"/>
      <c r="CI15" s="36"/>
      <c r="CJ15" s="37">
        <f t="shared" si="79"/>
        <v>0</v>
      </c>
      <c r="CK15" s="38"/>
      <c r="CL15" s="39">
        <f t="shared" si="80"/>
        <v>0</v>
      </c>
      <c r="CM15" s="38"/>
      <c r="CN15" s="39">
        <f t="shared" si="81"/>
        <v>0</v>
      </c>
      <c r="CO15" s="38"/>
      <c r="CP15" s="39">
        <f t="shared" si="82"/>
        <v>0</v>
      </c>
      <c r="CQ15" s="38"/>
      <c r="CR15" s="39">
        <f t="shared" si="83"/>
        <v>0</v>
      </c>
      <c r="CS15" s="41">
        <f t="shared" si="1"/>
        <v>625000</v>
      </c>
      <c r="CT15" s="41">
        <f t="shared" si="2"/>
        <v>625000</v>
      </c>
      <c r="CU15" s="41" t="e">
        <f>M15+O15+Q15+S15+#REF!+X15+Z15+AB15+AD15+#REF!+AI15+AK15+AM15+AO15+#REF!+AT15+AV15+AX15+AZ15+#REF!+BE15+BG15+BI15+BK15+#REF!+BP15+BR15+BT15+BV15+#REF!+CA15+CC15+CE15+CG15+#REF!+CL15+CN15+CP15+CR15+#REF!</f>
        <v>#REF!</v>
      </c>
      <c r="CV15" s="16" t="e">
        <f t="shared" si="43"/>
        <v>#REF!</v>
      </c>
    </row>
    <row r="16" spans="1:100" x14ac:dyDescent="0.25">
      <c r="B16" s="44"/>
      <c r="C16" s="42"/>
      <c r="D16" s="43"/>
      <c r="E16" s="50"/>
      <c r="F16" s="102">
        <f t="shared" si="0"/>
        <v>0</v>
      </c>
      <c r="G16" s="40"/>
      <c r="H16" s="162">
        <v>0</v>
      </c>
      <c r="I16" s="40"/>
      <c r="J16" s="36"/>
      <c r="K16" s="37">
        <f t="shared" si="44"/>
        <v>0</v>
      </c>
      <c r="L16" s="38"/>
      <c r="M16" s="39">
        <f t="shared" si="45"/>
        <v>0</v>
      </c>
      <c r="N16" s="38"/>
      <c r="O16" s="39">
        <f t="shared" si="46"/>
        <v>0</v>
      </c>
      <c r="P16" s="38"/>
      <c r="Q16" s="39">
        <f t="shared" si="47"/>
        <v>0</v>
      </c>
      <c r="R16" s="38"/>
      <c r="S16" s="39">
        <f t="shared" si="48"/>
        <v>0</v>
      </c>
      <c r="T16" s="40"/>
      <c r="U16" s="36"/>
      <c r="V16" s="37">
        <f t="shared" si="49"/>
        <v>0</v>
      </c>
      <c r="W16" s="38"/>
      <c r="X16" s="39">
        <f t="shared" si="50"/>
        <v>0</v>
      </c>
      <c r="Y16" s="38"/>
      <c r="Z16" s="39">
        <f t="shared" si="51"/>
        <v>0</v>
      </c>
      <c r="AA16" s="38"/>
      <c r="AB16" s="39">
        <f t="shared" si="52"/>
        <v>0</v>
      </c>
      <c r="AC16" s="38"/>
      <c r="AD16" s="39">
        <f t="shared" si="53"/>
        <v>0</v>
      </c>
      <c r="AE16" s="40"/>
      <c r="AF16" s="36"/>
      <c r="AG16" s="37">
        <f t="shared" si="54"/>
        <v>0</v>
      </c>
      <c r="AH16" s="38"/>
      <c r="AI16" s="39">
        <f t="shared" si="55"/>
        <v>0</v>
      </c>
      <c r="AJ16" s="38"/>
      <c r="AK16" s="39">
        <f t="shared" si="56"/>
        <v>0</v>
      </c>
      <c r="AL16" s="38"/>
      <c r="AM16" s="39">
        <f t="shared" si="57"/>
        <v>0</v>
      </c>
      <c r="AN16" s="38"/>
      <c r="AO16" s="39">
        <f t="shared" si="58"/>
        <v>0</v>
      </c>
      <c r="AP16" s="40"/>
      <c r="AQ16" s="36"/>
      <c r="AR16" s="37">
        <f t="shared" si="59"/>
        <v>0</v>
      </c>
      <c r="AS16" s="38"/>
      <c r="AT16" s="39">
        <f t="shared" si="60"/>
        <v>0</v>
      </c>
      <c r="AU16" s="38"/>
      <c r="AV16" s="39">
        <f t="shared" si="61"/>
        <v>0</v>
      </c>
      <c r="AW16" s="38"/>
      <c r="AX16" s="39">
        <f t="shared" si="62"/>
        <v>0</v>
      </c>
      <c r="AY16" s="38"/>
      <c r="AZ16" s="39">
        <f t="shared" si="63"/>
        <v>0</v>
      </c>
      <c r="BA16" s="40"/>
      <c r="BB16" s="36"/>
      <c r="BC16" s="37">
        <f t="shared" si="64"/>
        <v>0</v>
      </c>
      <c r="BD16" s="38"/>
      <c r="BE16" s="39">
        <f t="shared" si="65"/>
        <v>0</v>
      </c>
      <c r="BF16" s="38"/>
      <c r="BG16" s="39">
        <f t="shared" si="66"/>
        <v>0</v>
      </c>
      <c r="BH16" s="38"/>
      <c r="BI16" s="39">
        <f t="shared" si="67"/>
        <v>0</v>
      </c>
      <c r="BJ16" s="38"/>
      <c r="BK16" s="39">
        <f t="shared" si="68"/>
        <v>0</v>
      </c>
      <c r="BL16" s="40"/>
      <c r="BM16" s="36"/>
      <c r="BN16" s="37">
        <f t="shared" si="69"/>
        <v>0</v>
      </c>
      <c r="BO16" s="38"/>
      <c r="BP16" s="39">
        <f t="shared" si="70"/>
        <v>0</v>
      </c>
      <c r="BQ16" s="38"/>
      <c r="BR16" s="39">
        <f t="shared" si="71"/>
        <v>0</v>
      </c>
      <c r="BS16" s="38"/>
      <c r="BT16" s="39">
        <f t="shared" si="72"/>
        <v>0</v>
      </c>
      <c r="BU16" s="38"/>
      <c r="BV16" s="39">
        <f t="shared" si="73"/>
        <v>0</v>
      </c>
      <c r="BW16" s="40"/>
      <c r="BX16" s="36"/>
      <c r="BY16" s="37">
        <f t="shared" si="74"/>
        <v>0</v>
      </c>
      <c r="BZ16" s="38"/>
      <c r="CA16" s="39">
        <f t="shared" si="75"/>
        <v>0</v>
      </c>
      <c r="CB16" s="38"/>
      <c r="CC16" s="39">
        <f t="shared" si="76"/>
        <v>0</v>
      </c>
      <c r="CD16" s="38"/>
      <c r="CE16" s="39">
        <f t="shared" si="77"/>
        <v>0</v>
      </c>
      <c r="CF16" s="38"/>
      <c r="CG16" s="39">
        <f t="shared" si="78"/>
        <v>0</v>
      </c>
      <c r="CH16" s="40"/>
      <c r="CI16" s="36"/>
      <c r="CJ16" s="37">
        <f t="shared" si="79"/>
        <v>0</v>
      </c>
      <c r="CK16" s="38"/>
      <c r="CL16" s="39">
        <f t="shared" si="80"/>
        <v>0</v>
      </c>
      <c r="CM16" s="38"/>
      <c r="CN16" s="39">
        <f t="shared" si="81"/>
        <v>0</v>
      </c>
      <c r="CO16" s="38"/>
      <c r="CP16" s="39">
        <f t="shared" si="82"/>
        <v>0</v>
      </c>
      <c r="CQ16" s="38"/>
      <c r="CR16" s="39">
        <f t="shared" si="83"/>
        <v>0</v>
      </c>
      <c r="CS16" s="41">
        <f t="shared" si="1"/>
        <v>0</v>
      </c>
      <c r="CT16" s="41">
        <f t="shared" si="2"/>
        <v>0</v>
      </c>
      <c r="CU16" s="41" t="e">
        <f>M16+O16+Q16+S16+#REF!+X16+Z16+AB16+AD16+#REF!+AI16+AK16+AM16+AO16+#REF!+AT16+AV16+AX16+AZ16+#REF!+BE16+BG16+BI16+BK16+#REF!+BP16+BR16+BT16+BV16+#REF!+CA16+CC16+CE16+CG16+#REF!+CL16+CN16+CP16+CR16+#REF!</f>
        <v>#REF!</v>
      </c>
      <c r="CV16" s="16" t="e">
        <f t="shared" si="43"/>
        <v>#REF!</v>
      </c>
    </row>
    <row r="17" spans="1:100" x14ac:dyDescent="0.25">
      <c r="A17" s="1" t="s">
        <v>191</v>
      </c>
      <c r="C17" s="42"/>
      <c r="D17" s="43"/>
      <c r="E17" s="34"/>
      <c r="F17" s="102">
        <f t="shared" si="0"/>
        <v>0</v>
      </c>
      <c r="G17" s="40"/>
      <c r="H17" s="162">
        <v>0</v>
      </c>
      <c r="I17" s="40"/>
      <c r="J17" s="36"/>
      <c r="K17" s="37">
        <f t="shared" si="44"/>
        <v>0</v>
      </c>
      <c r="L17" s="38"/>
      <c r="M17" s="39">
        <f t="shared" si="45"/>
        <v>0</v>
      </c>
      <c r="N17" s="38"/>
      <c r="O17" s="39">
        <f t="shared" si="46"/>
        <v>0</v>
      </c>
      <c r="P17" s="38"/>
      <c r="Q17" s="39">
        <f t="shared" si="47"/>
        <v>0</v>
      </c>
      <c r="R17" s="38"/>
      <c r="S17" s="39">
        <f t="shared" si="48"/>
        <v>0</v>
      </c>
      <c r="T17" s="40"/>
      <c r="U17" s="36"/>
      <c r="V17" s="37">
        <f t="shared" si="49"/>
        <v>0</v>
      </c>
      <c r="W17" s="38"/>
      <c r="X17" s="39">
        <f t="shared" si="50"/>
        <v>0</v>
      </c>
      <c r="Y17" s="38"/>
      <c r="Z17" s="39">
        <f t="shared" si="51"/>
        <v>0</v>
      </c>
      <c r="AA17" s="38"/>
      <c r="AB17" s="39">
        <f t="shared" si="52"/>
        <v>0</v>
      </c>
      <c r="AC17" s="38"/>
      <c r="AD17" s="39">
        <f t="shared" si="53"/>
        <v>0</v>
      </c>
      <c r="AE17" s="40"/>
      <c r="AF17" s="36"/>
      <c r="AG17" s="37">
        <f t="shared" si="54"/>
        <v>0</v>
      </c>
      <c r="AH17" s="38"/>
      <c r="AI17" s="39">
        <f t="shared" si="55"/>
        <v>0</v>
      </c>
      <c r="AJ17" s="38"/>
      <c r="AK17" s="39">
        <f t="shared" si="56"/>
        <v>0</v>
      </c>
      <c r="AL17" s="38"/>
      <c r="AM17" s="39">
        <f t="shared" si="57"/>
        <v>0</v>
      </c>
      <c r="AN17" s="38"/>
      <c r="AO17" s="39">
        <f t="shared" si="58"/>
        <v>0</v>
      </c>
      <c r="AP17" s="40"/>
      <c r="AQ17" s="36"/>
      <c r="AR17" s="37">
        <f t="shared" si="59"/>
        <v>0</v>
      </c>
      <c r="AS17" s="38"/>
      <c r="AT17" s="39">
        <f t="shared" si="60"/>
        <v>0</v>
      </c>
      <c r="AU17" s="38"/>
      <c r="AV17" s="39">
        <f t="shared" si="61"/>
        <v>0</v>
      </c>
      <c r="AW17" s="38"/>
      <c r="AX17" s="39">
        <f t="shared" si="62"/>
        <v>0</v>
      </c>
      <c r="AY17" s="38"/>
      <c r="AZ17" s="39">
        <f t="shared" si="63"/>
        <v>0</v>
      </c>
      <c r="BA17" s="40"/>
      <c r="BB17" s="36"/>
      <c r="BC17" s="37">
        <f t="shared" si="64"/>
        <v>0</v>
      </c>
      <c r="BD17" s="38"/>
      <c r="BE17" s="39">
        <f t="shared" si="65"/>
        <v>0</v>
      </c>
      <c r="BF17" s="38"/>
      <c r="BG17" s="39">
        <f t="shared" si="66"/>
        <v>0</v>
      </c>
      <c r="BH17" s="38"/>
      <c r="BI17" s="39">
        <f t="shared" si="67"/>
        <v>0</v>
      </c>
      <c r="BJ17" s="38"/>
      <c r="BK17" s="39">
        <f t="shared" si="68"/>
        <v>0</v>
      </c>
      <c r="BL17" s="40"/>
      <c r="BM17" s="36"/>
      <c r="BN17" s="37">
        <f t="shared" si="69"/>
        <v>0</v>
      </c>
      <c r="BO17" s="38"/>
      <c r="BP17" s="39">
        <f t="shared" si="70"/>
        <v>0</v>
      </c>
      <c r="BQ17" s="38"/>
      <c r="BR17" s="39">
        <f t="shared" si="71"/>
        <v>0</v>
      </c>
      <c r="BS17" s="38"/>
      <c r="BT17" s="39">
        <f t="shared" si="72"/>
        <v>0</v>
      </c>
      <c r="BU17" s="38"/>
      <c r="BV17" s="39">
        <f t="shared" si="73"/>
        <v>0</v>
      </c>
      <c r="BW17" s="40"/>
      <c r="BX17" s="36"/>
      <c r="BY17" s="37">
        <f t="shared" si="74"/>
        <v>0</v>
      </c>
      <c r="BZ17" s="38"/>
      <c r="CA17" s="39">
        <f t="shared" si="75"/>
        <v>0</v>
      </c>
      <c r="CB17" s="38"/>
      <c r="CC17" s="39">
        <f t="shared" si="76"/>
        <v>0</v>
      </c>
      <c r="CD17" s="38"/>
      <c r="CE17" s="39">
        <f t="shared" si="77"/>
        <v>0</v>
      </c>
      <c r="CF17" s="38"/>
      <c r="CG17" s="39">
        <f t="shared" si="78"/>
        <v>0</v>
      </c>
      <c r="CH17" s="40"/>
      <c r="CI17" s="36"/>
      <c r="CJ17" s="37">
        <f t="shared" si="79"/>
        <v>0</v>
      </c>
      <c r="CK17" s="38"/>
      <c r="CL17" s="39">
        <f t="shared" si="80"/>
        <v>0</v>
      </c>
      <c r="CM17" s="38"/>
      <c r="CN17" s="39">
        <f t="shared" si="81"/>
        <v>0</v>
      </c>
      <c r="CO17" s="38"/>
      <c r="CP17" s="39">
        <f t="shared" si="82"/>
        <v>0</v>
      </c>
      <c r="CQ17" s="38"/>
      <c r="CR17" s="39">
        <f t="shared" si="83"/>
        <v>0</v>
      </c>
      <c r="CS17" s="41">
        <f t="shared" si="1"/>
        <v>0</v>
      </c>
      <c r="CT17" s="41">
        <f t="shared" si="2"/>
        <v>0</v>
      </c>
      <c r="CU17" s="41" t="e">
        <f>M17+O17+Q17+S17+#REF!+X17+Z17+AB17+AD17+#REF!+AI17+AK17+AM17+AO17+#REF!+AT17+AV17+AX17+AZ17+#REF!+BE17+BG17+BI17+BK17+#REF!+BP17+BR17+BT17+BV17+#REF!+CA17+CC17+CE17+CG17+#REF!+CL17+CN17+CP17+CR17+#REF!</f>
        <v>#REF!</v>
      </c>
      <c r="CV17" s="16" t="e">
        <f t="shared" si="43"/>
        <v>#REF!</v>
      </c>
    </row>
    <row r="18" spans="1:100" x14ac:dyDescent="0.25">
      <c r="B18" s="46" t="s">
        <v>32</v>
      </c>
      <c r="C18" s="42" t="s">
        <v>33</v>
      </c>
      <c r="D18" s="53">
        <f>12682.4-D28</f>
        <v>12582.4</v>
      </c>
      <c r="E18" s="191">
        <f>H18*$K$106</f>
        <v>244.89599999999999</v>
      </c>
      <c r="F18" s="94">
        <f>D18*E18</f>
        <v>3081379.4304</v>
      </c>
      <c r="G18" s="40"/>
      <c r="H18" s="162">
        <v>240</v>
      </c>
      <c r="I18" s="40"/>
      <c r="J18" s="36"/>
      <c r="K18" s="37">
        <f t="shared" si="44"/>
        <v>0</v>
      </c>
      <c r="L18" s="38"/>
      <c r="M18" s="39">
        <f t="shared" si="45"/>
        <v>0</v>
      </c>
      <c r="N18" s="38"/>
      <c r="O18" s="39">
        <f t="shared" si="46"/>
        <v>0</v>
      </c>
      <c r="P18" s="38"/>
      <c r="Q18" s="39">
        <f t="shared" si="47"/>
        <v>0</v>
      </c>
      <c r="R18" s="38"/>
      <c r="S18" s="39">
        <f t="shared" si="48"/>
        <v>0</v>
      </c>
      <c r="T18" s="40"/>
      <c r="U18" s="36"/>
      <c r="V18" s="37">
        <f t="shared" si="49"/>
        <v>0</v>
      </c>
      <c r="W18" s="38"/>
      <c r="X18" s="39">
        <f t="shared" si="50"/>
        <v>0</v>
      </c>
      <c r="Y18" s="38"/>
      <c r="Z18" s="39">
        <f t="shared" si="51"/>
        <v>0</v>
      </c>
      <c r="AA18" s="38"/>
      <c r="AB18" s="39">
        <f t="shared" si="52"/>
        <v>0</v>
      </c>
      <c r="AC18" s="38"/>
      <c r="AD18" s="39">
        <f t="shared" si="53"/>
        <v>0</v>
      </c>
      <c r="AE18" s="40"/>
      <c r="AF18" s="36">
        <v>0.6</v>
      </c>
      <c r="AG18" s="37">
        <f t="shared" si="54"/>
        <v>1848827.65824</v>
      </c>
      <c r="AH18" s="38">
        <v>1</v>
      </c>
      <c r="AI18" s="39">
        <f t="shared" si="55"/>
        <v>1848827.65824</v>
      </c>
      <c r="AJ18" s="38"/>
      <c r="AK18" s="39">
        <f t="shared" si="56"/>
        <v>0</v>
      </c>
      <c r="AL18" s="38"/>
      <c r="AM18" s="39">
        <f t="shared" si="57"/>
        <v>0</v>
      </c>
      <c r="AN18" s="38"/>
      <c r="AO18" s="39">
        <f t="shared" si="58"/>
        <v>0</v>
      </c>
      <c r="AP18" s="40"/>
      <c r="AQ18" s="36">
        <v>0.2</v>
      </c>
      <c r="AR18" s="37">
        <f t="shared" si="59"/>
        <v>616275.88607999997</v>
      </c>
      <c r="AS18" s="38">
        <v>1</v>
      </c>
      <c r="AT18" s="39">
        <f t="shared" si="60"/>
        <v>616275.88607999997</v>
      </c>
      <c r="AU18" s="38"/>
      <c r="AV18" s="39">
        <f t="shared" si="61"/>
        <v>0</v>
      </c>
      <c r="AW18" s="38"/>
      <c r="AX18" s="39">
        <f t="shared" si="62"/>
        <v>0</v>
      </c>
      <c r="AY18" s="38"/>
      <c r="AZ18" s="39">
        <f t="shared" si="63"/>
        <v>0</v>
      </c>
      <c r="BA18" s="40"/>
      <c r="BB18" s="36">
        <v>0.15</v>
      </c>
      <c r="BC18" s="37">
        <f t="shared" si="64"/>
        <v>462206.91456</v>
      </c>
      <c r="BD18" s="38">
        <v>1</v>
      </c>
      <c r="BE18" s="39">
        <f t="shared" si="65"/>
        <v>462206.91456</v>
      </c>
      <c r="BF18" s="38"/>
      <c r="BG18" s="39">
        <f t="shared" si="66"/>
        <v>0</v>
      </c>
      <c r="BH18" s="38"/>
      <c r="BI18" s="39">
        <f t="shared" si="67"/>
        <v>0</v>
      </c>
      <c r="BJ18" s="38"/>
      <c r="BK18" s="39">
        <f t="shared" si="68"/>
        <v>0</v>
      </c>
      <c r="BL18" s="40"/>
      <c r="BM18" s="36">
        <v>0.05</v>
      </c>
      <c r="BN18" s="37">
        <f t="shared" si="69"/>
        <v>154068.97151999999</v>
      </c>
      <c r="BO18" s="38">
        <v>1</v>
      </c>
      <c r="BP18" s="39">
        <f t="shared" si="70"/>
        <v>154068.97151999999</v>
      </c>
      <c r="BQ18" s="38"/>
      <c r="BR18" s="39">
        <f t="shared" si="71"/>
        <v>0</v>
      </c>
      <c r="BS18" s="38"/>
      <c r="BT18" s="39">
        <f t="shared" si="72"/>
        <v>0</v>
      </c>
      <c r="BU18" s="38"/>
      <c r="BV18" s="39">
        <f t="shared" si="73"/>
        <v>0</v>
      </c>
      <c r="BW18" s="40"/>
      <c r="BX18" s="36"/>
      <c r="BY18" s="37">
        <f t="shared" si="74"/>
        <v>0</v>
      </c>
      <c r="BZ18" s="38"/>
      <c r="CA18" s="39">
        <f t="shared" si="75"/>
        <v>0</v>
      </c>
      <c r="CB18" s="38"/>
      <c r="CC18" s="39">
        <f t="shared" si="76"/>
        <v>0</v>
      </c>
      <c r="CD18" s="38"/>
      <c r="CE18" s="39">
        <f t="shared" si="77"/>
        <v>0</v>
      </c>
      <c r="CF18" s="38"/>
      <c r="CG18" s="39">
        <f t="shared" si="78"/>
        <v>0</v>
      </c>
      <c r="CH18" s="40"/>
      <c r="CI18" s="36"/>
      <c r="CJ18" s="37">
        <f t="shared" si="79"/>
        <v>0</v>
      </c>
      <c r="CK18" s="38"/>
      <c r="CL18" s="39">
        <f t="shared" si="80"/>
        <v>0</v>
      </c>
      <c r="CM18" s="38"/>
      <c r="CN18" s="39">
        <f t="shared" si="81"/>
        <v>0</v>
      </c>
      <c r="CO18" s="38"/>
      <c r="CP18" s="39">
        <f t="shared" si="82"/>
        <v>0</v>
      </c>
      <c r="CQ18" s="38"/>
      <c r="CR18" s="39">
        <f t="shared" si="83"/>
        <v>0</v>
      </c>
      <c r="CS18" s="41">
        <f t="shared" si="1"/>
        <v>3081379.4304</v>
      </c>
      <c r="CT18" s="41">
        <f t="shared" si="2"/>
        <v>3081379.4304</v>
      </c>
      <c r="CU18" s="41" t="e">
        <f>M18+O18+Q18+S18+#REF!+X18+Z18+AB18+AD18+#REF!+AI18+AK18+AM18+AO18+#REF!+AT18+AV18+AX18+AZ18+#REF!+BE18+BG18+BI18+BK18+#REF!+BP18+BR18+BT18+BV18+#REF!+CA18+CC18+CE18+CG18+#REF!+CL18+CN18+CP18+CR18+#REF!</f>
        <v>#REF!</v>
      </c>
      <c r="CV18" s="16" t="e">
        <f t="shared" si="43"/>
        <v>#REF!</v>
      </c>
    </row>
    <row r="19" spans="1:100" x14ac:dyDescent="0.25">
      <c r="B19" s="46" t="s">
        <v>34</v>
      </c>
      <c r="C19" s="42" t="s">
        <v>33</v>
      </c>
      <c r="D19" s="53">
        <f>12682.4-D30</f>
        <v>12582.4</v>
      </c>
      <c r="E19" s="34">
        <f>$K$95</f>
        <v>-108.3695731319762</v>
      </c>
      <c r="F19" s="94">
        <f>D19*E19</f>
        <v>-1363549.3169757773</v>
      </c>
      <c r="G19" s="40"/>
      <c r="H19" s="162">
        <v>-123.79</v>
      </c>
      <c r="I19" s="40"/>
      <c r="J19" s="36"/>
      <c r="K19" s="37">
        <f t="shared" si="44"/>
        <v>0</v>
      </c>
      <c r="L19" s="38"/>
      <c r="M19" s="39">
        <f t="shared" si="45"/>
        <v>0</v>
      </c>
      <c r="N19" s="38"/>
      <c r="O19" s="39">
        <f t="shared" si="46"/>
        <v>0</v>
      </c>
      <c r="P19" s="38"/>
      <c r="Q19" s="39">
        <f t="shared" si="47"/>
        <v>0</v>
      </c>
      <c r="R19" s="38"/>
      <c r="S19" s="39">
        <f t="shared" si="48"/>
        <v>0</v>
      </c>
      <c r="T19" s="40"/>
      <c r="U19" s="36"/>
      <c r="V19" s="37">
        <f t="shared" si="49"/>
        <v>0</v>
      </c>
      <c r="W19" s="38"/>
      <c r="X19" s="39">
        <f t="shared" si="50"/>
        <v>0</v>
      </c>
      <c r="Y19" s="38"/>
      <c r="Z19" s="39">
        <f t="shared" si="51"/>
        <v>0</v>
      </c>
      <c r="AA19" s="38"/>
      <c r="AB19" s="39">
        <f t="shared" si="52"/>
        <v>0</v>
      </c>
      <c r="AC19" s="38"/>
      <c r="AD19" s="39">
        <f t="shared" si="53"/>
        <v>0</v>
      </c>
      <c r="AE19" s="40"/>
      <c r="AF19" s="36">
        <v>0.6</v>
      </c>
      <c r="AG19" s="37">
        <f t="shared" si="54"/>
        <v>-818129.59018546634</v>
      </c>
      <c r="AH19" s="38">
        <v>1</v>
      </c>
      <c r="AI19" s="39">
        <f t="shared" si="55"/>
        <v>-818129.59018546634</v>
      </c>
      <c r="AJ19" s="38"/>
      <c r="AK19" s="39">
        <f t="shared" si="56"/>
        <v>0</v>
      </c>
      <c r="AL19" s="38"/>
      <c r="AM19" s="39">
        <f t="shared" si="57"/>
        <v>0</v>
      </c>
      <c r="AN19" s="38"/>
      <c r="AO19" s="39">
        <f t="shared" si="58"/>
        <v>0</v>
      </c>
      <c r="AP19" s="40"/>
      <c r="AQ19" s="36">
        <v>0.25</v>
      </c>
      <c r="AR19" s="37">
        <f t="shared" si="59"/>
        <v>-340887.32924394432</v>
      </c>
      <c r="AS19" s="38">
        <v>1</v>
      </c>
      <c r="AT19" s="39">
        <f t="shared" si="60"/>
        <v>-340887.32924394432</v>
      </c>
      <c r="AU19" s="38"/>
      <c r="AV19" s="39">
        <f t="shared" si="61"/>
        <v>0</v>
      </c>
      <c r="AW19" s="38"/>
      <c r="AX19" s="39">
        <f t="shared" si="62"/>
        <v>0</v>
      </c>
      <c r="AY19" s="38"/>
      <c r="AZ19" s="39">
        <f t="shared" si="63"/>
        <v>0</v>
      </c>
      <c r="BA19" s="40"/>
      <c r="BB19" s="36">
        <v>0.15</v>
      </c>
      <c r="BC19" s="37">
        <f t="shared" si="64"/>
        <v>-204532.39754636658</v>
      </c>
      <c r="BD19" s="38">
        <v>1</v>
      </c>
      <c r="BE19" s="39">
        <f t="shared" si="65"/>
        <v>-204532.39754636658</v>
      </c>
      <c r="BF19" s="38"/>
      <c r="BG19" s="39">
        <f t="shared" si="66"/>
        <v>0</v>
      </c>
      <c r="BH19" s="38"/>
      <c r="BI19" s="39">
        <f t="shared" si="67"/>
        <v>0</v>
      </c>
      <c r="BJ19" s="38"/>
      <c r="BK19" s="39">
        <f t="shared" si="68"/>
        <v>0</v>
      </c>
      <c r="BL19" s="40"/>
      <c r="BM19" s="36"/>
      <c r="BN19" s="37">
        <f t="shared" si="69"/>
        <v>0</v>
      </c>
      <c r="BO19" s="38"/>
      <c r="BP19" s="39">
        <f t="shared" si="70"/>
        <v>0</v>
      </c>
      <c r="BQ19" s="38"/>
      <c r="BR19" s="39">
        <f t="shared" si="71"/>
        <v>0</v>
      </c>
      <c r="BS19" s="38"/>
      <c r="BT19" s="39">
        <f t="shared" si="72"/>
        <v>0</v>
      </c>
      <c r="BU19" s="38"/>
      <c r="BV19" s="39">
        <f t="shared" si="73"/>
        <v>0</v>
      </c>
      <c r="BW19" s="40"/>
      <c r="BX19" s="36"/>
      <c r="BY19" s="37">
        <f t="shared" si="74"/>
        <v>0</v>
      </c>
      <c r="BZ19" s="38"/>
      <c r="CA19" s="39">
        <f t="shared" si="75"/>
        <v>0</v>
      </c>
      <c r="CB19" s="38"/>
      <c r="CC19" s="39">
        <f t="shared" si="76"/>
        <v>0</v>
      </c>
      <c r="CD19" s="38"/>
      <c r="CE19" s="39">
        <f t="shared" si="77"/>
        <v>0</v>
      </c>
      <c r="CF19" s="38"/>
      <c r="CG19" s="39">
        <f t="shared" si="78"/>
        <v>0</v>
      </c>
      <c r="CH19" s="40"/>
      <c r="CI19" s="36"/>
      <c r="CJ19" s="37">
        <f t="shared" si="79"/>
        <v>0</v>
      </c>
      <c r="CK19" s="38"/>
      <c r="CL19" s="39">
        <f t="shared" si="80"/>
        <v>0</v>
      </c>
      <c r="CM19" s="38"/>
      <c r="CN19" s="39">
        <f t="shared" si="81"/>
        <v>0</v>
      </c>
      <c r="CO19" s="38"/>
      <c r="CP19" s="39">
        <f t="shared" si="82"/>
        <v>0</v>
      </c>
      <c r="CQ19" s="38"/>
      <c r="CR19" s="39">
        <f t="shared" si="83"/>
        <v>0</v>
      </c>
      <c r="CS19" s="41">
        <f t="shared" si="1"/>
        <v>-1363549.3169757773</v>
      </c>
      <c r="CT19" s="41">
        <f t="shared" si="2"/>
        <v>-1363549.3169757773</v>
      </c>
      <c r="CU19" s="41" t="e">
        <f>M19+O19+Q19+S19+#REF!+X19+Z19+AB19+AD19+#REF!+AI19+AK19+AM19+AO19+#REF!+AT19+AV19+AX19+AZ19+#REF!+BE19+BG19+BI19+BK19+#REF!+BP19+BR19+BT19+BV19+#REF!+CA19+CC19+CE19+CG19+#REF!+CL19+CN19+CP19+CR19+#REF!</f>
        <v>#REF!</v>
      </c>
      <c r="CV19" s="16" t="e">
        <f t="shared" si="43"/>
        <v>#REF!</v>
      </c>
    </row>
    <row r="20" spans="1:100" x14ac:dyDescent="0.25">
      <c r="B20" s="46" t="s">
        <v>35</v>
      </c>
      <c r="C20" s="42" t="s">
        <v>36</v>
      </c>
      <c r="D20" s="53">
        <v>114141.59999999999</v>
      </c>
      <c r="E20" s="47">
        <f>$K$96</f>
        <v>-0.38793301271641789</v>
      </c>
      <c r="F20" s="94">
        <v>-44560.279894736821</v>
      </c>
      <c r="G20" s="40"/>
      <c r="H20" s="162">
        <v>-0.38</v>
      </c>
      <c r="I20" s="40"/>
      <c r="J20" s="36"/>
      <c r="K20" s="37">
        <f t="shared" si="44"/>
        <v>0</v>
      </c>
      <c r="L20" s="38"/>
      <c r="M20" s="39">
        <f t="shared" si="45"/>
        <v>0</v>
      </c>
      <c r="N20" s="38"/>
      <c r="O20" s="39">
        <f t="shared" si="46"/>
        <v>0</v>
      </c>
      <c r="P20" s="38"/>
      <c r="Q20" s="39">
        <f t="shared" si="47"/>
        <v>0</v>
      </c>
      <c r="R20" s="38"/>
      <c r="S20" s="39">
        <f t="shared" si="48"/>
        <v>0</v>
      </c>
      <c r="T20" s="40"/>
      <c r="U20" s="36"/>
      <c r="V20" s="37">
        <f t="shared" si="49"/>
        <v>0</v>
      </c>
      <c r="W20" s="38"/>
      <c r="X20" s="39">
        <f t="shared" si="50"/>
        <v>0</v>
      </c>
      <c r="Y20" s="38"/>
      <c r="Z20" s="39">
        <f t="shared" si="51"/>
        <v>0</v>
      </c>
      <c r="AA20" s="38"/>
      <c r="AB20" s="39">
        <f t="shared" si="52"/>
        <v>0</v>
      </c>
      <c r="AC20" s="38"/>
      <c r="AD20" s="39">
        <f t="shared" si="53"/>
        <v>0</v>
      </c>
      <c r="AE20" s="40"/>
      <c r="AF20" s="36"/>
      <c r="AG20" s="37">
        <f t="shared" si="54"/>
        <v>0</v>
      </c>
      <c r="AH20" s="38"/>
      <c r="AI20" s="39">
        <f t="shared" si="55"/>
        <v>0</v>
      </c>
      <c r="AJ20" s="38"/>
      <c r="AK20" s="39">
        <f t="shared" si="56"/>
        <v>0</v>
      </c>
      <c r="AL20" s="38"/>
      <c r="AM20" s="39">
        <f t="shared" si="57"/>
        <v>0</v>
      </c>
      <c r="AN20" s="38"/>
      <c r="AO20" s="39">
        <f t="shared" si="58"/>
        <v>0</v>
      </c>
      <c r="AP20" s="40"/>
      <c r="AQ20" s="36">
        <v>1</v>
      </c>
      <c r="AR20" s="37">
        <f t="shared" si="59"/>
        <v>-44560.279894736821</v>
      </c>
      <c r="AS20" s="38">
        <v>1</v>
      </c>
      <c r="AT20" s="39">
        <f t="shared" si="60"/>
        <v>-44560.279894736821</v>
      </c>
      <c r="AU20" s="38"/>
      <c r="AV20" s="39">
        <f t="shared" si="61"/>
        <v>0</v>
      </c>
      <c r="AW20" s="38"/>
      <c r="AX20" s="39">
        <f t="shared" si="62"/>
        <v>0</v>
      </c>
      <c r="AY20" s="38"/>
      <c r="AZ20" s="39">
        <f t="shared" si="63"/>
        <v>0</v>
      </c>
      <c r="BA20" s="40"/>
      <c r="BB20" s="36"/>
      <c r="BC20" s="37">
        <f t="shared" si="64"/>
        <v>0</v>
      </c>
      <c r="BD20" s="38"/>
      <c r="BE20" s="39">
        <f t="shared" si="65"/>
        <v>0</v>
      </c>
      <c r="BF20" s="38"/>
      <c r="BG20" s="39">
        <f t="shared" si="66"/>
        <v>0</v>
      </c>
      <c r="BH20" s="38"/>
      <c r="BI20" s="39">
        <f t="shared" si="67"/>
        <v>0</v>
      </c>
      <c r="BJ20" s="38"/>
      <c r="BK20" s="39">
        <f t="shared" si="68"/>
        <v>0</v>
      </c>
      <c r="BL20" s="40"/>
      <c r="BM20" s="36"/>
      <c r="BN20" s="37">
        <f t="shared" si="69"/>
        <v>0</v>
      </c>
      <c r="BO20" s="38"/>
      <c r="BP20" s="39">
        <f t="shared" si="70"/>
        <v>0</v>
      </c>
      <c r="BQ20" s="38"/>
      <c r="BR20" s="39">
        <f t="shared" si="71"/>
        <v>0</v>
      </c>
      <c r="BS20" s="38"/>
      <c r="BT20" s="39">
        <f t="shared" si="72"/>
        <v>0</v>
      </c>
      <c r="BU20" s="38"/>
      <c r="BV20" s="39">
        <f t="shared" si="73"/>
        <v>0</v>
      </c>
      <c r="BW20" s="40"/>
      <c r="BX20" s="36"/>
      <c r="BY20" s="37">
        <f t="shared" si="74"/>
        <v>0</v>
      </c>
      <c r="BZ20" s="38"/>
      <c r="CA20" s="39">
        <f t="shared" si="75"/>
        <v>0</v>
      </c>
      <c r="CB20" s="38"/>
      <c r="CC20" s="39">
        <f t="shared" si="76"/>
        <v>0</v>
      </c>
      <c r="CD20" s="38"/>
      <c r="CE20" s="39">
        <f t="shared" si="77"/>
        <v>0</v>
      </c>
      <c r="CF20" s="38"/>
      <c r="CG20" s="39">
        <f t="shared" si="78"/>
        <v>0</v>
      </c>
      <c r="CH20" s="40"/>
      <c r="CI20" s="36"/>
      <c r="CJ20" s="37">
        <f t="shared" si="79"/>
        <v>0</v>
      </c>
      <c r="CK20" s="38"/>
      <c r="CL20" s="39">
        <f t="shared" si="80"/>
        <v>0</v>
      </c>
      <c r="CM20" s="38"/>
      <c r="CN20" s="39">
        <f t="shared" si="81"/>
        <v>0</v>
      </c>
      <c r="CO20" s="38"/>
      <c r="CP20" s="39">
        <f t="shared" si="82"/>
        <v>0</v>
      </c>
      <c r="CQ20" s="38"/>
      <c r="CR20" s="39">
        <f t="shared" si="83"/>
        <v>0</v>
      </c>
      <c r="CS20" s="41">
        <f t="shared" si="1"/>
        <v>-44560.279894736821</v>
      </c>
      <c r="CT20" s="41">
        <f t="shared" si="2"/>
        <v>-44560.279894736821</v>
      </c>
      <c r="CU20" s="41" t="e">
        <f>M20+O20+Q20+S20+#REF!+X20+Z20+AB20+AD20+#REF!+AI20+AK20+AM20+AO20+#REF!+AT20+AV20+AX20+AZ20+#REF!+BE20+BG20+BI20+BK20+#REF!+BP20+BR20+BT20+BV20+#REF!+CA20+CC20+CE20+CG20+#REF!+CL20+CN20+CP20+CR20+#REF!</f>
        <v>#REF!</v>
      </c>
      <c r="CV20" s="16" t="e">
        <f t="shared" si="43"/>
        <v>#REF!</v>
      </c>
    </row>
    <row r="21" spans="1:100" x14ac:dyDescent="0.25">
      <c r="B21" s="46" t="s">
        <v>37</v>
      </c>
      <c r="C21" s="42" t="s">
        <v>36</v>
      </c>
      <c r="D21" s="53">
        <v>1078004</v>
      </c>
      <c r="E21" s="47">
        <f>$K$97</f>
        <v>-0.31414430979039298</v>
      </c>
      <c r="F21" s="94">
        <v>-399060.496123077</v>
      </c>
      <c r="G21" s="40"/>
      <c r="H21" s="162">
        <v>-0.37</v>
      </c>
      <c r="I21" s="40"/>
      <c r="J21" s="36"/>
      <c r="K21" s="37">
        <f t="shared" si="44"/>
        <v>0</v>
      </c>
      <c r="L21" s="38"/>
      <c r="M21" s="39">
        <f t="shared" si="45"/>
        <v>0</v>
      </c>
      <c r="N21" s="38"/>
      <c r="O21" s="39">
        <f t="shared" si="46"/>
        <v>0</v>
      </c>
      <c r="P21" s="38"/>
      <c r="Q21" s="39">
        <f t="shared" si="47"/>
        <v>0</v>
      </c>
      <c r="R21" s="38"/>
      <c r="S21" s="39">
        <f t="shared" si="48"/>
        <v>0</v>
      </c>
      <c r="T21" s="40"/>
      <c r="U21" s="36"/>
      <c r="V21" s="37">
        <f t="shared" si="49"/>
        <v>0</v>
      </c>
      <c r="W21" s="38"/>
      <c r="X21" s="39">
        <f t="shared" si="50"/>
        <v>0</v>
      </c>
      <c r="Y21" s="38"/>
      <c r="Z21" s="39">
        <f t="shared" si="51"/>
        <v>0</v>
      </c>
      <c r="AA21" s="38"/>
      <c r="AB21" s="39">
        <f t="shared" si="52"/>
        <v>0</v>
      </c>
      <c r="AC21" s="38"/>
      <c r="AD21" s="39">
        <f t="shared" si="53"/>
        <v>0</v>
      </c>
      <c r="AE21" s="40"/>
      <c r="AF21" s="36"/>
      <c r="AG21" s="37">
        <f t="shared" si="54"/>
        <v>0</v>
      </c>
      <c r="AH21" s="38"/>
      <c r="AI21" s="39">
        <f t="shared" si="55"/>
        <v>0</v>
      </c>
      <c r="AJ21" s="38"/>
      <c r="AK21" s="39">
        <f t="shared" si="56"/>
        <v>0</v>
      </c>
      <c r="AL21" s="38"/>
      <c r="AM21" s="39">
        <f t="shared" si="57"/>
        <v>0</v>
      </c>
      <c r="AN21" s="38"/>
      <c r="AO21" s="39">
        <f t="shared" si="58"/>
        <v>0</v>
      </c>
      <c r="AP21" s="40"/>
      <c r="AQ21" s="36">
        <v>0.2</v>
      </c>
      <c r="AR21" s="37">
        <f t="shared" si="59"/>
        <v>-79812.099224615406</v>
      </c>
      <c r="AS21" s="38">
        <v>1</v>
      </c>
      <c r="AT21" s="39">
        <f t="shared" si="60"/>
        <v>-79812.099224615406</v>
      </c>
      <c r="AU21" s="38"/>
      <c r="AV21" s="39">
        <f t="shared" si="61"/>
        <v>0</v>
      </c>
      <c r="AW21" s="38"/>
      <c r="AX21" s="39">
        <f t="shared" si="62"/>
        <v>0</v>
      </c>
      <c r="AY21" s="38"/>
      <c r="AZ21" s="39">
        <f t="shared" si="63"/>
        <v>0</v>
      </c>
      <c r="BA21" s="40"/>
      <c r="BB21" s="36"/>
      <c r="BC21" s="37">
        <f t="shared" si="64"/>
        <v>0</v>
      </c>
      <c r="BD21" s="38"/>
      <c r="BE21" s="39">
        <f t="shared" si="65"/>
        <v>0</v>
      </c>
      <c r="BF21" s="38"/>
      <c r="BG21" s="39">
        <f t="shared" si="66"/>
        <v>0</v>
      </c>
      <c r="BH21" s="38"/>
      <c r="BI21" s="39">
        <f t="shared" si="67"/>
        <v>0</v>
      </c>
      <c r="BJ21" s="38"/>
      <c r="BK21" s="39">
        <f t="shared" si="68"/>
        <v>0</v>
      </c>
      <c r="BL21" s="40"/>
      <c r="BM21" s="36">
        <v>0.8</v>
      </c>
      <c r="BN21" s="37">
        <f t="shared" si="69"/>
        <v>-319248.39689846162</v>
      </c>
      <c r="BO21" s="38">
        <v>1</v>
      </c>
      <c r="BP21" s="39">
        <f t="shared" si="70"/>
        <v>-319248.39689846162</v>
      </c>
      <c r="BQ21" s="38"/>
      <c r="BR21" s="39">
        <f t="shared" si="71"/>
        <v>0</v>
      </c>
      <c r="BS21" s="38"/>
      <c r="BT21" s="39">
        <f t="shared" si="72"/>
        <v>0</v>
      </c>
      <c r="BU21" s="38"/>
      <c r="BV21" s="39">
        <f t="shared" si="73"/>
        <v>0</v>
      </c>
      <c r="BW21" s="40"/>
      <c r="BX21" s="36"/>
      <c r="BY21" s="37">
        <f t="shared" si="74"/>
        <v>0</v>
      </c>
      <c r="BZ21" s="38"/>
      <c r="CA21" s="39">
        <f t="shared" si="75"/>
        <v>0</v>
      </c>
      <c r="CB21" s="38"/>
      <c r="CC21" s="39">
        <f t="shared" si="76"/>
        <v>0</v>
      </c>
      <c r="CD21" s="38"/>
      <c r="CE21" s="39">
        <f t="shared" si="77"/>
        <v>0</v>
      </c>
      <c r="CF21" s="38"/>
      <c r="CG21" s="39">
        <f t="shared" si="78"/>
        <v>0</v>
      </c>
      <c r="CH21" s="40"/>
      <c r="CI21" s="36"/>
      <c r="CJ21" s="37">
        <f t="shared" si="79"/>
        <v>0</v>
      </c>
      <c r="CK21" s="38"/>
      <c r="CL21" s="39">
        <f t="shared" si="80"/>
        <v>0</v>
      </c>
      <c r="CM21" s="38"/>
      <c r="CN21" s="39">
        <f t="shared" si="81"/>
        <v>0</v>
      </c>
      <c r="CO21" s="38"/>
      <c r="CP21" s="39">
        <f t="shared" si="82"/>
        <v>0</v>
      </c>
      <c r="CQ21" s="38"/>
      <c r="CR21" s="39">
        <f t="shared" si="83"/>
        <v>0</v>
      </c>
      <c r="CS21" s="41">
        <f t="shared" si="1"/>
        <v>-399060.496123077</v>
      </c>
      <c r="CT21" s="41">
        <f t="shared" si="2"/>
        <v>-399060.496123077</v>
      </c>
      <c r="CU21" s="41" t="e">
        <f>M21+O21+Q21+S21+#REF!+X21+Z21+AB21+AD21+#REF!+AI21+AK21+AM21+AO21+#REF!+AT21+AV21+AX21+AZ21+#REF!+BE21+BG21+BI21+BK21+#REF!+BP21+BR21+BT21+BV21+#REF!+CA21+CC21+CE21+CG21+#REF!+CL21+CN21+CP21+CR21+#REF!</f>
        <v>#REF!</v>
      </c>
      <c r="CV21" s="16" t="e">
        <f t="shared" si="43"/>
        <v>#REF!</v>
      </c>
    </row>
    <row r="22" spans="1:100" x14ac:dyDescent="0.25">
      <c r="B22" s="46" t="s">
        <v>38</v>
      </c>
      <c r="C22" s="42" t="s">
        <v>36</v>
      </c>
      <c r="D22" s="53">
        <v>152188.79999999999</v>
      </c>
      <c r="E22" s="47">
        <f>$K$98</f>
        <v>-0.13699903999999999</v>
      </c>
      <c r="F22" s="94">
        <v>-27993.608897876642</v>
      </c>
      <c r="G22" s="40"/>
      <c r="H22" s="162">
        <v>-0.16</v>
      </c>
      <c r="I22" s="40"/>
      <c r="J22" s="36"/>
      <c r="K22" s="37">
        <f t="shared" si="44"/>
        <v>0</v>
      </c>
      <c r="L22" s="38"/>
      <c r="M22" s="39">
        <f t="shared" si="45"/>
        <v>0</v>
      </c>
      <c r="N22" s="38"/>
      <c r="O22" s="39">
        <f t="shared" si="46"/>
        <v>0</v>
      </c>
      <c r="P22" s="38"/>
      <c r="Q22" s="39">
        <f t="shared" si="47"/>
        <v>0</v>
      </c>
      <c r="R22" s="38"/>
      <c r="S22" s="39">
        <f t="shared" si="48"/>
        <v>0</v>
      </c>
      <c r="T22" s="40"/>
      <c r="U22" s="36"/>
      <c r="V22" s="37">
        <f t="shared" si="49"/>
        <v>0</v>
      </c>
      <c r="W22" s="38"/>
      <c r="X22" s="39">
        <f t="shared" si="50"/>
        <v>0</v>
      </c>
      <c r="Y22" s="38"/>
      <c r="Z22" s="39">
        <f t="shared" si="51"/>
        <v>0</v>
      </c>
      <c r="AA22" s="38"/>
      <c r="AB22" s="39">
        <f t="shared" si="52"/>
        <v>0</v>
      </c>
      <c r="AC22" s="38"/>
      <c r="AD22" s="39">
        <f t="shared" si="53"/>
        <v>0</v>
      </c>
      <c r="AE22" s="40"/>
      <c r="AF22" s="36"/>
      <c r="AG22" s="37">
        <f t="shared" si="54"/>
        <v>0</v>
      </c>
      <c r="AH22" s="38"/>
      <c r="AI22" s="39">
        <f t="shared" si="55"/>
        <v>0</v>
      </c>
      <c r="AJ22" s="38"/>
      <c r="AK22" s="39">
        <f t="shared" si="56"/>
        <v>0</v>
      </c>
      <c r="AL22" s="38"/>
      <c r="AM22" s="39">
        <f t="shared" si="57"/>
        <v>0</v>
      </c>
      <c r="AN22" s="38"/>
      <c r="AO22" s="39">
        <f t="shared" si="58"/>
        <v>0</v>
      </c>
      <c r="AP22" s="40"/>
      <c r="AQ22" s="36">
        <v>1</v>
      </c>
      <c r="AR22" s="37">
        <f t="shared" si="59"/>
        <v>-27993.608897876642</v>
      </c>
      <c r="AS22" s="38">
        <v>1</v>
      </c>
      <c r="AT22" s="39">
        <f t="shared" si="60"/>
        <v>-27993.608897876642</v>
      </c>
      <c r="AU22" s="38"/>
      <c r="AV22" s="39">
        <f t="shared" si="61"/>
        <v>0</v>
      </c>
      <c r="AW22" s="38"/>
      <c r="AX22" s="39">
        <f t="shared" si="62"/>
        <v>0</v>
      </c>
      <c r="AY22" s="38"/>
      <c r="AZ22" s="39">
        <f t="shared" si="63"/>
        <v>0</v>
      </c>
      <c r="BA22" s="40"/>
      <c r="BB22" s="36"/>
      <c r="BC22" s="37">
        <f t="shared" si="64"/>
        <v>0</v>
      </c>
      <c r="BD22" s="38"/>
      <c r="BE22" s="39">
        <f t="shared" si="65"/>
        <v>0</v>
      </c>
      <c r="BF22" s="38"/>
      <c r="BG22" s="39">
        <f t="shared" si="66"/>
        <v>0</v>
      </c>
      <c r="BH22" s="38"/>
      <c r="BI22" s="39">
        <f t="shared" si="67"/>
        <v>0</v>
      </c>
      <c r="BJ22" s="38"/>
      <c r="BK22" s="39">
        <f t="shared" si="68"/>
        <v>0</v>
      </c>
      <c r="BL22" s="40"/>
      <c r="BM22" s="36"/>
      <c r="BN22" s="37">
        <f t="shared" si="69"/>
        <v>0</v>
      </c>
      <c r="BO22" s="38"/>
      <c r="BP22" s="39">
        <f t="shared" si="70"/>
        <v>0</v>
      </c>
      <c r="BQ22" s="38"/>
      <c r="BR22" s="39">
        <f t="shared" si="71"/>
        <v>0</v>
      </c>
      <c r="BS22" s="38"/>
      <c r="BT22" s="39">
        <f t="shared" si="72"/>
        <v>0</v>
      </c>
      <c r="BU22" s="38"/>
      <c r="BV22" s="39">
        <f t="shared" si="73"/>
        <v>0</v>
      </c>
      <c r="BW22" s="40"/>
      <c r="BX22" s="36"/>
      <c r="BY22" s="37">
        <f t="shared" si="74"/>
        <v>0</v>
      </c>
      <c r="BZ22" s="38"/>
      <c r="CA22" s="39">
        <f t="shared" si="75"/>
        <v>0</v>
      </c>
      <c r="CB22" s="38"/>
      <c r="CC22" s="39">
        <f t="shared" si="76"/>
        <v>0</v>
      </c>
      <c r="CD22" s="38"/>
      <c r="CE22" s="39">
        <f t="shared" si="77"/>
        <v>0</v>
      </c>
      <c r="CF22" s="38"/>
      <c r="CG22" s="39">
        <f t="shared" si="78"/>
        <v>0</v>
      </c>
      <c r="CH22" s="40"/>
      <c r="CI22" s="36"/>
      <c r="CJ22" s="37">
        <f t="shared" si="79"/>
        <v>0</v>
      </c>
      <c r="CK22" s="38"/>
      <c r="CL22" s="39">
        <f t="shared" si="80"/>
        <v>0</v>
      </c>
      <c r="CM22" s="38"/>
      <c r="CN22" s="39">
        <f t="shared" si="81"/>
        <v>0</v>
      </c>
      <c r="CO22" s="38"/>
      <c r="CP22" s="39">
        <f t="shared" si="82"/>
        <v>0</v>
      </c>
      <c r="CQ22" s="38"/>
      <c r="CR22" s="39">
        <f t="shared" si="83"/>
        <v>0</v>
      </c>
      <c r="CS22" s="41">
        <f t="shared" si="1"/>
        <v>-27993.608897876642</v>
      </c>
      <c r="CT22" s="41">
        <f t="shared" si="2"/>
        <v>-27993.608897876642</v>
      </c>
      <c r="CU22" s="41" t="e">
        <f>M22+O22+Q22+S22+#REF!+X22+Z22+AB22+AD22+#REF!+AI22+AK22+AM22+AO22+#REF!+AT22+AV22+AX22+AZ22+#REF!+BE22+BG22+BI22+BK22+#REF!+BP22+BR22+BT22+BV22+#REF!+CA22+CC22+CE22+CG22+#REF!+CL22+CN22+CP22+CR22+#REF!</f>
        <v>#REF!</v>
      </c>
      <c r="CV22" s="16" t="e">
        <f t="shared" si="43"/>
        <v>#REF!</v>
      </c>
    </row>
    <row r="23" spans="1:100" x14ac:dyDescent="0.25">
      <c r="B23" s="46" t="s">
        <v>39</v>
      </c>
      <c r="C23" s="42" t="s">
        <v>40</v>
      </c>
      <c r="D23" s="53">
        <v>666.66666666666663</v>
      </c>
      <c r="E23" s="191">
        <f>H23*$K$106</f>
        <v>107.142</v>
      </c>
      <c r="F23" s="94">
        <v>70000</v>
      </c>
      <c r="G23" s="40"/>
      <c r="H23" s="162">
        <v>105</v>
      </c>
      <c r="I23" s="40"/>
      <c r="J23" s="36"/>
      <c r="K23" s="37">
        <f t="shared" si="44"/>
        <v>0</v>
      </c>
      <c r="L23" s="38"/>
      <c r="M23" s="39">
        <f t="shared" si="45"/>
        <v>0</v>
      </c>
      <c r="N23" s="38"/>
      <c r="O23" s="39">
        <f t="shared" si="46"/>
        <v>0</v>
      </c>
      <c r="P23" s="38"/>
      <c r="Q23" s="39">
        <f t="shared" si="47"/>
        <v>0</v>
      </c>
      <c r="R23" s="38"/>
      <c r="S23" s="39">
        <f t="shared" si="48"/>
        <v>0</v>
      </c>
      <c r="T23" s="40"/>
      <c r="U23" s="36"/>
      <c r="V23" s="37">
        <f t="shared" si="49"/>
        <v>0</v>
      </c>
      <c r="W23" s="38"/>
      <c r="X23" s="39">
        <f t="shared" si="50"/>
        <v>0</v>
      </c>
      <c r="Y23" s="38"/>
      <c r="Z23" s="39">
        <f t="shared" si="51"/>
        <v>0</v>
      </c>
      <c r="AA23" s="38"/>
      <c r="AB23" s="39">
        <f t="shared" si="52"/>
        <v>0</v>
      </c>
      <c r="AC23" s="38"/>
      <c r="AD23" s="39">
        <f t="shared" si="53"/>
        <v>0</v>
      </c>
      <c r="AE23" s="40"/>
      <c r="AF23" s="36">
        <v>1</v>
      </c>
      <c r="AG23" s="37">
        <f t="shared" si="54"/>
        <v>70000</v>
      </c>
      <c r="AH23" s="38">
        <v>1</v>
      </c>
      <c r="AI23" s="39">
        <f t="shared" si="55"/>
        <v>70000</v>
      </c>
      <c r="AJ23" s="38"/>
      <c r="AK23" s="39">
        <f t="shared" si="56"/>
        <v>0</v>
      </c>
      <c r="AL23" s="38"/>
      <c r="AM23" s="39">
        <f t="shared" si="57"/>
        <v>0</v>
      </c>
      <c r="AN23" s="38"/>
      <c r="AO23" s="39">
        <f t="shared" si="58"/>
        <v>0</v>
      </c>
      <c r="AP23" s="40"/>
      <c r="AQ23" s="36"/>
      <c r="AR23" s="37">
        <f t="shared" si="59"/>
        <v>0</v>
      </c>
      <c r="AS23" s="38"/>
      <c r="AT23" s="39">
        <f t="shared" si="60"/>
        <v>0</v>
      </c>
      <c r="AU23" s="38"/>
      <c r="AV23" s="39">
        <f t="shared" si="61"/>
        <v>0</v>
      </c>
      <c r="AW23" s="38"/>
      <c r="AX23" s="39">
        <f t="shared" si="62"/>
        <v>0</v>
      </c>
      <c r="AY23" s="38"/>
      <c r="AZ23" s="39">
        <f t="shared" si="63"/>
        <v>0</v>
      </c>
      <c r="BA23" s="40"/>
      <c r="BB23" s="36"/>
      <c r="BC23" s="37">
        <f t="shared" si="64"/>
        <v>0</v>
      </c>
      <c r="BD23" s="38"/>
      <c r="BE23" s="39">
        <f t="shared" si="65"/>
        <v>0</v>
      </c>
      <c r="BF23" s="38"/>
      <c r="BG23" s="39">
        <f t="shared" si="66"/>
        <v>0</v>
      </c>
      <c r="BH23" s="38"/>
      <c r="BI23" s="39">
        <f t="shared" si="67"/>
        <v>0</v>
      </c>
      <c r="BJ23" s="38"/>
      <c r="BK23" s="39">
        <f t="shared" si="68"/>
        <v>0</v>
      </c>
      <c r="BL23" s="40"/>
      <c r="BM23" s="36"/>
      <c r="BN23" s="37">
        <f t="shared" si="69"/>
        <v>0</v>
      </c>
      <c r="BO23" s="38"/>
      <c r="BP23" s="39">
        <f t="shared" si="70"/>
        <v>0</v>
      </c>
      <c r="BQ23" s="38"/>
      <c r="BR23" s="39">
        <f t="shared" si="71"/>
        <v>0</v>
      </c>
      <c r="BS23" s="38"/>
      <c r="BT23" s="39">
        <f t="shared" si="72"/>
        <v>0</v>
      </c>
      <c r="BU23" s="38"/>
      <c r="BV23" s="39">
        <f t="shared" si="73"/>
        <v>0</v>
      </c>
      <c r="BW23" s="40"/>
      <c r="BX23" s="36"/>
      <c r="BY23" s="37">
        <f t="shared" si="74"/>
        <v>0</v>
      </c>
      <c r="BZ23" s="38"/>
      <c r="CA23" s="39">
        <f t="shared" si="75"/>
        <v>0</v>
      </c>
      <c r="CB23" s="38"/>
      <c r="CC23" s="39">
        <f t="shared" si="76"/>
        <v>0</v>
      </c>
      <c r="CD23" s="38"/>
      <c r="CE23" s="39">
        <f t="shared" si="77"/>
        <v>0</v>
      </c>
      <c r="CF23" s="38"/>
      <c r="CG23" s="39">
        <f t="shared" si="78"/>
        <v>0</v>
      </c>
      <c r="CH23" s="40"/>
      <c r="CI23" s="36"/>
      <c r="CJ23" s="37">
        <f t="shared" si="79"/>
        <v>0</v>
      </c>
      <c r="CK23" s="38"/>
      <c r="CL23" s="39">
        <f t="shared" si="80"/>
        <v>0</v>
      </c>
      <c r="CM23" s="38"/>
      <c r="CN23" s="39">
        <f t="shared" si="81"/>
        <v>0</v>
      </c>
      <c r="CO23" s="38"/>
      <c r="CP23" s="39">
        <f t="shared" si="82"/>
        <v>0</v>
      </c>
      <c r="CQ23" s="38"/>
      <c r="CR23" s="39">
        <f t="shared" si="83"/>
        <v>0</v>
      </c>
      <c r="CS23" s="41">
        <f t="shared" si="1"/>
        <v>70000</v>
      </c>
      <c r="CT23" s="41">
        <f t="shared" si="2"/>
        <v>70000</v>
      </c>
      <c r="CU23" s="41" t="e">
        <f>M23+O23+Q23+S23+#REF!+X23+Z23+AB23+AD23+#REF!+AI23+AK23+AM23+AO23+#REF!+AT23+AV23+AX23+AZ23+#REF!+BE23+BG23+BI23+BK23+#REF!+BP23+BR23+BT23+BV23+#REF!+CA23+CC23+CE23+CG23+#REF!+CL23+CN23+CP23+CR23+#REF!</f>
        <v>#REF!</v>
      </c>
      <c r="CV23" s="16" t="e">
        <f t="shared" si="43"/>
        <v>#REF!</v>
      </c>
    </row>
    <row r="24" spans="1:100" x14ac:dyDescent="0.25">
      <c r="B24" s="130" t="s">
        <v>192</v>
      </c>
      <c r="C24" s="42" t="s">
        <v>36</v>
      </c>
      <c r="D24" s="53">
        <v>157500</v>
      </c>
      <c r="E24" s="47">
        <f>$K$103</f>
        <v>-1.5206066633165829</v>
      </c>
      <c r="F24" s="94">
        <v>-249243.75</v>
      </c>
      <c r="G24" s="40"/>
      <c r="H24" s="162">
        <v>-1.52</v>
      </c>
      <c r="I24" s="40"/>
      <c r="J24" s="36"/>
      <c r="K24" s="37">
        <f t="shared" si="44"/>
        <v>0</v>
      </c>
      <c r="L24" s="38"/>
      <c r="M24" s="39">
        <f t="shared" si="45"/>
        <v>0</v>
      </c>
      <c r="N24" s="38"/>
      <c r="O24" s="39">
        <f t="shared" si="46"/>
        <v>0</v>
      </c>
      <c r="P24" s="38"/>
      <c r="Q24" s="39">
        <f t="shared" si="47"/>
        <v>0</v>
      </c>
      <c r="R24" s="38"/>
      <c r="S24" s="39">
        <f t="shared" si="48"/>
        <v>0</v>
      </c>
      <c r="T24" s="40"/>
      <c r="U24" s="36"/>
      <c r="V24" s="37">
        <f t="shared" si="49"/>
        <v>0</v>
      </c>
      <c r="W24" s="38"/>
      <c r="X24" s="39">
        <f t="shared" si="50"/>
        <v>0</v>
      </c>
      <c r="Y24" s="38"/>
      <c r="Z24" s="39">
        <f t="shared" si="51"/>
        <v>0</v>
      </c>
      <c r="AA24" s="38"/>
      <c r="AB24" s="39">
        <f t="shared" si="52"/>
        <v>0</v>
      </c>
      <c r="AC24" s="38"/>
      <c r="AD24" s="39">
        <f t="shared" si="53"/>
        <v>0</v>
      </c>
      <c r="AE24" s="40"/>
      <c r="AF24" s="36"/>
      <c r="AG24" s="37">
        <f t="shared" si="54"/>
        <v>0</v>
      </c>
      <c r="AH24" s="38"/>
      <c r="AI24" s="39">
        <f t="shared" si="55"/>
        <v>0</v>
      </c>
      <c r="AJ24" s="38"/>
      <c r="AK24" s="39">
        <f t="shared" si="56"/>
        <v>0</v>
      </c>
      <c r="AL24" s="38"/>
      <c r="AM24" s="39">
        <f t="shared" si="57"/>
        <v>0</v>
      </c>
      <c r="AN24" s="38"/>
      <c r="AO24" s="39">
        <f t="shared" si="58"/>
        <v>0</v>
      </c>
      <c r="AP24" s="40"/>
      <c r="AQ24" s="36">
        <v>0.1</v>
      </c>
      <c r="AR24" s="37">
        <f t="shared" si="59"/>
        <v>-24924.375</v>
      </c>
      <c r="AS24" s="38">
        <v>1</v>
      </c>
      <c r="AT24" s="39">
        <f t="shared" si="60"/>
        <v>-24924.375</v>
      </c>
      <c r="AU24" s="38"/>
      <c r="AV24" s="39">
        <f t="shared" si="61"/>
        <v>0</v>
      </c>
      <c r="AW24" s="38"/>
      <c r="AX24" s="39">
        <f t="shared" si="62"/>
        <v>0</v>
      </c>
      <c r="AY24" s="38"/>
      <c r="AZ24" s="39">
        <f t="shared" si="63"/>
        <v>0</v>
      </c>
      <c r="BA24" s="40"/>
      <c r="BB24" s="36">
        <v>0.9</v>
      </c>
      <c r="BC24" s="37">
        <f t="shared" si="64"/>
        <v>-224319.375</v>
      </c>
      <c r="BD24" s="38">
        <v>1</v>
      </c>
      <c r="BE24" s="39">
        <f t="shared" si="65"/>
        <v>-224319.375</v>
      </c>
      <c r="BF24" s="38"/>
      <c r="BG24" s="39">
        <f t="shared" si="66"/>
        <v>0</v>
      </c>
      <c r="BH24" s="38"/>
      <c r="BI24" s="39">
        <f t="shared" si="67"/>
        <v>0</v>
      </c>
      <c r="BJ24" s="38"/>
      <c r="BK24" s="39">
        <f t="shared" si="68"/>
        <v>0</v>
      </c>
      <c r="BL24" s="40"/>
      <c r="BM24" s="36"/>
      <c r="BN24" s="37">
        <f t="shared" si="69"/>
        <v>0</v>
      </c>
      <c r="BO24" s="38"/>
      <c r="BP24" s="39">
        <f t="shared" si="70"/>
        <v>0</v>
      </c>
      <c r="BQ24" s="38"/>
      <c r="BR24" s="39">
        <f t="shared" si="71"/>
        <v>0</v>
      </c>
      <c r="BS24" s="38"/>
      <c r="BT24" s="39">
        <f t="shared" si="72"/>
        <v>0</v>
      </c>
      <c r="BU24" s="38"/>
      <c r="BV24" s="39">
        <f t="shared" si="73"/>
        <v>0</v>
      </c>
      <c r="BW24" s="40"/>
      <c r="BX24" s="36"/>
      <c r="BY24" s="37">
        <f t="shared" si="74"/>
        <v>0</v>
      </c>
      <c r="BZ24" s="38"/>
      <c r="CA24" s="39">
        <f t="shared" si="75"/>
        <v>0</v>
      </c>
      <c r="CB24" s="38"/>
      <c r="CC24" s="39">
        <f t="shared" si="76"/>
        <v>0</v>
      </c>
      <c r="CD24" s="38"/>
      <c r="CE24" s="39">
        <f t="shared" si="77"/>
        <v>0</v>
      </c>
      <c r="CF24" s="38"/>
      <c r="CG24" s="39">
        <f t="shared" si="78"/>
        <v>0</v>
      </c>
      <c r="CH24" s="40"/>
      <c r="CI24" s="36"/>
      <c r="CJ24" s="37">
        <f t="shared" si="79"/>
        <v>0</v>
      </c>
      <c r="CK24" s="38"/>
      <c r="CL24" s="39">
        <f t="shared" si="80"/>
        <v>0</v>
      </c>
      <c r="CM24" s="38"/>
      <c r="CN24" s="39">
        <f t="shared" si="81"/>
        <v>0</v>
      </c>
      <c r="CO24" s="38"/>
      <c r="CP24" s="39">
        <f t="shared" si="82"/>
        <v>0</v>
      </c>
      <c r="CQ24" s="38"/>
      <c r="CR24" s="39">
        <f t="shared" si="83"/>
        <v>0</v>
      </c>
      <c r="CS24" s="41">
        <f t="shared" si="1"/>
        <v>-249243.75</v>
      </c>
      <c r="CT24" s="41">
        <f t="shared" si="2"/>
        <v>-249243.75</v>
      </c>
      <c r="CU24" s="41" t="e">
        <f>M24+O24+Q24+S24+#REF!+X24+Z24+AB24+AD24+#REF!+AI24+AK24+AM24+AO24+#REF!+AT24+AV24+AX24+AZ24+#REF!+BE24+BG24+BI24+BK24+#REF!+BP24+BR24+BT24+BV24+#REF!+CA24+CC24+CE24+CG24+#REF!+CL24+CN24+CP24+CR24+#REF!</f>
        <v>#REF!</v>
      </c>
      <c r="CV24" s="16" t="e">
        <f t="shared" si="43"/>
        <v>#REF!</v>
      </c>
    </row>
    <row r="25" spans="1:100" x14ac:dyDescent="0.25">
      <c r="A25" s="2"/>
      <c r="B25" s="51" t="s">
        <v>41</v>
      </c>
      <c r="C25" s="42" t="s">
        <v>33</v>
      </c>
      <c r="D25" s="53">
        <v>285.35399999999998</v>
      </c>
      <c r="E25" s="191">
        <f>H25*$K$106</f>
        <v>66.325999999999993</v>
      </c>
      <c r="F25" s="94">
        <v>18548.009999999998</v>
      </c>
      <c r="G25" s="40"/>
      <c r="H25" s="162">
        <v>65</v>
      </c>
      <c r="I25" s="40"/>
      <c r="J25" s="36"/>
      <c r="K25" s="37">
        <f t="shared" si="44"/>
        <v>0</v>
      </c>
      <c r="L25" s="38"/>
      <c r="M25" s="39">
        <f t="shared" si="45"/>
        <v>0</v>
      </c>
      <c r="N25" s="38"/>
      <c r="O25" s="39">
        <f t="shared" si="46"/>
        <v>0</v>
      </c>
      <c r="P25" s="38"/>
      <c r="Q25" s="39">
        <f t="shared" si="47"/>
        <v>0</v>
      </c>
      <c r="R25" s="38"/>
      <c r="S25" s="39">
        <f t="shared" si="48"/>
        <v>0</v>
      </c>
      <c r="T25" s="40"/>
      <c r="U25" s="36">
        <v>0.14285714285714288</v>
      </c>
      <c r="V25" s="37">
        <f t="shared" si="49"/>
        <v>2649.7157142857145</v>
      </c>
      <c r="W25" s="38">
        <v>1</v>
      </c>
      <c r="X25" s="39">
        <f t="shared" si="50"/>
        <v>2649.7157142857145</v>
      </c>
      <c r="Y25" s="38"/>
      <c r="Z25" s="39">
        <f t="shared" si="51"/>
        <v>0</v>
      </c>
      <c r="AA25" s="38"/>
      <c r="AB25" s="39">
        <f t="shared" si="52"/>
        <v>0</v>
      </c>
      <c r="AC25" s="38"/>
      <c r="AD25" s="39">
        <f t="shared" si="53"/>
        <v>0</v>
      </c>
      <c r="AE25" s="40"/>
      <c r="AF25" s="36">
        <v>0.14285714285714288</v>
      </c>
      <c r="AG25" s="37">
        <f t="shared" si="54"/>
        <v>2649.7157142857145</v>
      </c>
      <c r="AH25" s="38">
        <v>1</v>
      </c>
      <c r="AI25" s="39">
        <f t="shared" si="55"/>
        <v>2649.7157142857145</v>
      </c>
      <c r="AJ25" s="38"/>
      <c r="AK25" s="39">
        <f t="shared" si="56"/>
        <v>0</v>
      </c>
      <c r="AL25" s="38"/>
      <c r="AM25" s="39">
        <f t="shared" si="57"/>
        <v>0</v>
      </c>
      <c r="AN25" s="38"/>
      <c r="AO25" s="39">
        <f t="shared" si="58"/>
        <v>0</v>
      </c>
      <c r="AP25" s="40"/>
      <c r="AQ25" s="36">
        <v>0.14285714285714288</v>
      </c>
      <c r="AR25" s="37">
        <f t="shared" si="59"/>
        <v>2649.7157142857145</v>
      </c>
      <c r="AS25" s="38">
        <v>1</v>
      </c>
      <c r="AT25" s="39">
        <f t="shared" si="60"/>
        <v>2649.7157142857145</v>
      </c>
      <c r="AU25" s="38"/>
      <c r="AV25" s="39">
        <f t="shared" si="61"/>
        <v>0</v>
      </c>
      <c r="AW25" s="38"/>
      <c r="AX25" s="39">
        <f t="shared" si="62"/>
        <v>0</v>
      </c>
      <c r="AY25" s="38"/>
      <c r="AZ25" s="39">
        <f t="shared" si="63"/>
        <v>0</v>
      </c>
      <c r="BA25" s="40"/>
      <c r="BB25" s="36">
        <v>0.14285714285714288</v>
      </c>
      <c r="BC25" s="37">
        <f t="shared" si="64"/>
        <v>2649.7157142857145</v>
      </c>
      <c r="BD25" s="38">
        <v>1</v>
      </c>
      <c r="BE25" s="39">
        <f t="shared" si="65"/>
        <v>2649.7157142857145</v>
      </c>
      <c r="BF25" s="52"/>
      <c r="BG25" s="39">
        <f t="shared" si="66"/>
        <v>0</v>
      </c>
      <c r="BH25" s="38"/>
      <c r="BI25" s="39">
        <f t="shared" si="67"/>
        <v>0</v>
      </c>
      <c r="BJ25" s="38"/>
      <c r="BK25" s="39">
        <f t="shared" si="68"/>
        <v>0</v>
      </c>
      <c r="BL25" s="40"/>
      <c r="BM25" s="36">
        <v>0.14285714285714288</v>
      </c>
      <c r="BN25" s="37">
        <f t="shared" si="69"/>
        <v>2649.7157142857145</v>
      </c>
      <c r="BO25" s="38">
        <v>1</v>
      </c>
      <c r="BP25" s="39">
        <f t="shared" si="70"/>
        <v>2649.7157142857145</v>
      </c>
      <c r="BQ25" s="38"/>
      <c r="BR25" s="39">
        <f t="shared" si="71"/>
        <v>0</v>
      </c>
      <c r="BS25" s="38"/>
      <c r="BT25" s="39">
        <f t="shared" si="72"/>
        <v>0</v>
      </c>
      <c r="BU25" s="38"/>
      <c r="BV25" s="39">
        <f t="shared" si="73"/>
        <v>0</v>
      </c>
      <c r="BW25" s="40"/>
      <c r="BX25" s="36">
        <v>0.14285714285714288</v>
      </c>
      <c r="BY25" s="37">
        <f t="shared" si="74"/>
        <v>2649.7157142857145</v>
      </c>
      <c r="BZ25" s="38">
        <v>1</v>
      </c>
      <c r="CA25" s="39">
        <f t="shared" si="75"/>
        <v>2649.7157142857145</v>
      </c>
      <c r="CB25" s="38"/>
      <c r="CC25" s="39">
        <f t="shared" si="76"/>
        <v>0</v>
      </c>
      <c r="CD25" s="38"/>
      <c r="CE25" s="39">
        <f t="shared" si="77"/>
        <v>0</v>
      </c>
      <c r="CF25" s="38"/>
      <c r="CG25" s="39">
        <f t="shared" si="78"/>
        <v>0</v>
      </c>
      <c r="CH25" s="40"/>
      <c r="CI25" s="36">
        <v>0.14285714285714288</v>
      </c>
      <c r="CJ25" s="37">
        <f t="shared" si="79"/>
        <v>2649.7157142857145</v>
      </c>
      <c r="CK25" s="38">
        <v>1</v>
      </c>
      <c r="CL25" s="39">
        <f t="shared" si="80"/>
        <v>2649.7157142857145</v>
      </c>
      <c r="CM25" s="38"/>
      <c r="CN25" s="39">
        <f t="shared" si="81"/>
        <v>0</v>
      </c>
      <c r="CO25" s="38"/>
      <c r="CP25" s="39">
        <f t="shared" si="82"/>
        <v>0</v>
      </c>
      <c r="CQ25" s="38"/>
      <c r="CR25" s="39">
        <f t="shared" si="83"/>
        <v>0</v>
      </c>
      <c r="CS25" s="41">
        <f t="shared" si="1"/>
        <v>18548.009999999998</v>
      </c>
      <c r="CT25" s="41">
        <f t="shared" si="2"/>
        <v>18548.010000000002</v>
      </c>
      <c r="CU25" s="41" t="e">
        <f>M25+O25+Q25+S25+#REF!+X25+Z25+AB25+AD25+#REF!+AI25+AK25+AM25+AO25+#REF!+AT25+AV25+AX25+AZ25+#REF!+BE25+BG25+BI25+BK25+#REF!+BP25+BR25+BT25+BV25+#REF!+CA25+CC25+CE25+CG25+#REF!+CL25+CN25+CP25+CR25+#REF!</f>
        <v>#REF!</v>
      </c>
      <c r="CV25" s="16" t="e">
        <f t="shared" si="43"/>
        <v>#REF!</v>
      </c>
    </row>
    <row r="26" spans="1:100" x14ac:dyDescent="0.25">
      <c r="B26" s="46" t="s">
        <v>193</v>
      </c>
      <c r="C26" s="42" t="s">
        <v>42</v>
      </c>
      <c r="D26" s="53">
        <v>1</v>
      </c>
      <c r="E26" s="34">
        <v>100000</v>
      </c>
      <c r="F26" s="94">
        <v>100000</v>
      </c>
      <c r="G26" s="40"/>
      <c r="H26" s="162">
        <v>100000</v>
      </c>
      <c r="I26" s="40"/>
      <c r="J26" s="36"/>
      <c r="K26" s="37">
        <f t="shared" si="44"/>
        <v>0</v>
      </c>
      <c r="L26" s="38"/>
      <c r="M26" s="39">
        <f t="shared" si="45"/>
        <v>0</v>
      </c>
      <c r="N26" s="38"/>
      <c r="O26" s="39">
        <f t="shared" si="46"/>
        <v>0</v>
      </c>
      <c r="P26" s="38"/>
      <c r="Q26" s="39">
        <f t="shared" si="47"/>
        <v>0</v>
      </c>
      <c r="R26" s="38"/>
      <c r="S26" s="39">
        <f t="shared" si="48"/>
        <v>0</v>
      </c>
      <c r="T26" s="40"/>
      <c r="U26" s="36"/>
      <c r="V26" s="37">
        <f t="shared" si="49"/>
        <v>0</v>
      </c>
      <c r="W26" s="38"/>
      <c r="X26" s="39">
        <f t="shared" si="50"/>
        <v>0</v>
      </c>
      <c r="Y26" s="38"/>
      <c r="Z26" s="39">
        <f t="shared" si="51"/>
        <v>0</v>
      </c>
      <c r="AA26" s="38"/>
      <c r="AB26" s="39">
        <f t="shared" si="52"/>
        <v>0</v>
      </c>
      <c r="AC26" s="38"/>
      <c r="AD26" s="39">
        <f t="shared" si="53"/>
        <v>0</v>
      </c>
      <c r="AE26" s="40"/>
      <c r="AF26" s="36">
        <v>0.8</v>
      </c>
      <c r="AG26" s="37">
        <f t="shared" si="54"/>
        <v>80000</v>
      </c>
      <c r="AH26" s="38">
        <v>1</v>
      </c>
      <c r="AI26" s="39">
        <f t="shared" si="55"/>
        <v>80000</v>
      </c>
      <c r="AJ26" s="38"/>
      <c r="AK26" s="39">
        <f t="shared" si="56"/>
        <v>0</v>
      </c>
      <c r="AL26" s="38"/>
      <c r="AM26" s="39">
        <f t="shared" si="57"/>
        <v>0</v>
      </c>
      <c r="AN26" s="38"/>
      <c r="AO26" s="39">
        <f t="shared" si="58"/>
        <v>0</v>
      </c>
      <c r="AP26" s="40"/>
      <c r="AQ26" s="36">
        <v>0.2</v>
      </c>
      <c r="AR26" s="37">
        <f t="shared" si="59"/>
        <v>20000</v>
      </c>
      <c r="AS26" s="38">
        <v>1</v>
      </c>
      <c r="AT26" s="39">
        <f t="shared" si="60"/>
        <v>20000</v>
      </c>
      <c r="AU26" s="38"/>
      <c r="AV26" s="39">
        <f t="shared" si="61"/>
        <v>0</v>
      </c>
      <c r="AW26" s="38"/>
      <c r="AX26" s="39">
        <f t="shared" si="62"/>
        <v>0</v>
      </c>
      <c r="AY26" s="38"/>
      <c r="AZ26" s="39">
        <f t="shared" si="63"/>
        <v>0</v>
      </c>
      <c r="BA26" s="40"/>
      <c r="BB26" s="36"/>
      <c r="BC26" s="37">
        <f t="shared" si="64"/>
        <v>0</v>
      </c>
      <c r="BD26" s="38"/>
      <c r="BE26" s="39">
        <f t="shared" si="65"/>
        <v>0</v>
      </c>
      <c r="BF26" s="38"/>
      <c r="BG26" s="39">
        <f t="shared" si="66"/>
        <v>0</v>
      </c>
      <c r="BH26" s="38"/>
      <c r="BI26" s="39">
        <f t="shared" si="67"/>
        <v>0</v>
      </c>
      <c r="BJ26" s="38"/>
      <c r="BK26" s="39">
        <f t="shared" si="68"/>
        <v>0</v>
      </c>
      <c r="BL26" s="40"/>
      <c r="BM26" s="36"/>
      <c r="BN26" s="37">
        <f t="shared" si="69"/>
        <v>0</v>
      </c>
      <c r="BO26" s="38"/>
      <c r="BP26" s="39">
        <f t="shared" si="70"/>
        <v>0</v>
      </c>
      <c r="BQ26" s="38"/>
      <c r="BR26" s="39">
        <f t="shared" si="71"/>
        <v>0</v>
      </c>
      <c r="BS26" s="38"/>
      <c r="BT26" s="39">
        <f t="shared" si="72"/>
        <v>0</v>
      </c>
      <c r="BU26" s="38"/>
      <c r="BV26" s="39">
        <f t="shared" si="73"/>
        <v>0</v>
      </c>
      <c r="BW26" s="40"/>
      <c r="BX26" s="36"/>
      <c r="BY26" s="37">
        <f t="shared" si="74"/>
        <v>0</v>
      </c>
      <c r="BZ26" s="38"/>
      <c r="CA26" s="39">
        <f t="shared" si="75"/>
        <v>0</v>
      </c>
      <c r="CB26" s="38"/>
      <c r="CC26" s="39">
        <f t="shared" si="76"/>
        <v>0</v>
      </c>
      <c r="CD26" s="38"/>
      <c r="CE26" s="39">
        <f t="shared" si="77"/>
        <v>0</v>
      </c>
      <c r="CF26" s="38"/>
      <c r="CG26" s="39">
        <f t="shared" si="78"/>
        <v>0</v>
      </c>
      <c r="CH26" s="40"/>
      <c r="CI26" s="36"/>
      <c r="CJ26" s="37">
        <f t="shared" si="79"/>
        <v>0</v>
      </c>
      <c r="CK26" s="38"/>
      <c r="CL26" s="39">
        <f t="shared" si="80"/>
        <v>0</v>
      </c>
      <c r="CM26" s="38"/>
      <c r="CN26" s="39">
        <f t="shared" si="81"/>
        <v>0</v>
      </c>
      <c r="CO26" s="38"/>
      <c r="CP26" s="39">
        <f t="shared" si="82"/>
        <v>0</v>
      </c>
      <c r="CQ26" s="38"/>
      <c r="CR26" s="39">
        <f t="shared" si="83"/>
        <v>0</v>
      </c>
      <c r="CS26" s="41">
        <f t="shared" si="1"/>
        <v>100000</v>
      </c>
      <c r="CT26" s="41">
        <f t="shared" si="2"/>
        <v>100000</v>
      </c>
      <c r="CU26" s="41" t="e">
        <f>M26+O26+Q26+S26+#REF!+X26+Z26+AB26+AD26+#REF!+AI26+AK26+AM26+AO26+#REF!+AT26+AV26+AX26+AZ26+#REF!+BE26+BG26+BI26+BK26+#REF!+BP26+BR26+BT26+BV26+#REF!+CA26+CC26+CE26+CG26+#REF!+CL26+CN26+CP26+CR26+#REF!</f>
        <v>#REF!</v>
      </c>
      <c r="CV26" s="16" t="e">
        <f t="shared" si="43"/>
        <v>#REF!</v>
      </c>
    </row>
    <row r="27" spans="1:100" x14ac:dyDescent="0.25">
      <c r="B27" s="48" t="s">
        <v>43</v>
      </c>
      <c r="C27" s="42" t="s">
        <v>33</v>
      </c>
      <c r="D27" s="53">
        <v>18000</v>
      </c>
      <c r="E27" s="191">
        <f>H27*$K$106</f>
        <v>15.305999999999999</v>
      </c>
      <c r="F27" s="94">
        <v>270000</v>
      </c>
      <c r="G27" s="40"/>
      <c r="H27" s="162">
        <v>15</v>
      </c>
      <c r="I27" s="40"/>
      <c r="J27" s="36"/>
      <c r="K27" s="37">
        <f t="shared" si="44"/>
        <v>0</v>
      </c>
      <c r="L27" s="38"/>
      <c r="M27" s="39">
        <f t="shared" si="45"/>
        <v>0</v>
      </c>
      <c r="N27" s="38"/>
      <c r="O27" s="39">
        <f t="shared" si="46"/>
        <v>0</v>
      </c>
      <c r="P27" s="38"/>
      <c r="Q27" s="39">
        <f t="shared" si="47"/>
        <v>0</v>
      </c>
      <c r="R27" s="38"/>
      <c r="S27" s="39">
        <f t="shared" si="48"/>
        <v>0</v>
      </c>
      <c r="T27" s="40"/>
      <c r="U27" s="36">
        <v>1</v>
      </c>
      <c r="V27" s="37">
        <f t="shared" si="49"/>
        <v>270000</v>
      </c>
      <c r="W27" s="38">
        <v>1</v>
      </c>
      <c r="X27" s="39">
        <f t="shared" si="50"/>
        <v>270000</v>
      </c>
      <c r="Y27" s="38"/>
      <c r="Z27" s="39">
        <f t="shared" si="51"/>
        <v>0</v>
      </c>
      <c r="AA27" s="38"/>
      <c r="AB27" s="39">
        <f t="shared" si="52"/>
        <v>0</v>
      </c>
      <c r="AC27" s="38"/>
      <c r="AD27" s="39">
        <f t="shared" si="53"/>
        <v>0</v>
      </c>
      <c r="AE27" s="40"/>
      <c r="AF27" s="36"/>
      <c r="AG27" s="37">
        <f t="shared" si="54"/>
        <v>0</v>
      </c>
      <c r="AH27" s="38"/>
      <c r="AI27" s="39">
        <f t="shared" si="55"/>
        <v>0</v>
      </c>
      <c r="AJ27" s="38"/>
      <c r="AK27" s="39">
        <f t="shared" si="56"/>
        <v>0</v>
      </c>
      <c r="AL27" s="38"/>
      <c r="AM27" s="39">
        <f t="shared" si="57"/>
        <v>0</v>
      </c>
      <c r="AN27" s="38"/>
      <c r="AO27" s="39">
        <f t="shared" si="58"/>
        <v>0</v>
      </c>
      <c r="AP27" s="40"/>
      <c r="AQ27" s="36"/>
      <c r="AR27" s="37">
        <f t="shared" si="59"/>
        <v>0</v>
      </c>
      <c r="AS27" s="38"/>
      <c r="AT27" s="39">
        <f t="shared" si="60"/>
        <v>0</v>
      </c>
      <c r="AU27" s="38"/>
      <c r="AV27" s="39">
        <f t="shared" si="61"/>
        <v>0</v>
      </c>
      <c r="AW27" s="38"/>
      <c r="AX27" s="39">
        <f t="shared" si="62"/>
        <v>0</v>
      </c>
      <c r="AY27" s="38"/>
      <c r="AZ27" s="39">
        <f t="shared" si="63"/>
        <v>0</v>
      </c>
      <c r="BA27" s="40"/>
      <c r="BB27" s="36"/>
      <c r="BC27" s="37">
        <f t="shared" si="64"/>
        <v>0</v>
      </c>
      <c r="BD27" s="38"/>
      <c r="BE27" s="39">
        <f t="shared" si="65"/>
        <v>0</v>
      </c>
      <c r="BF27" s="38"/>
      <c r="BG27" s="39">
        <f t="shared" si="66"/>
        <v>0</v>
      </c>
      <c r="BH27" s="38"/>
      <c r="BI27" s="39">
        <f t="shared" si="67"/>
        <v>0</v>
      </c>
      <c r="BJ27" s="38"/>
      <c r="BK27" s="39">
        <f t="shared" si="68"/>
        <v>0</v>
      </c>
      <c r="BL27" s="40"/>
      <c r="BM27" s="36"/>
      <c r="BN27" s="37">
        <f t="shared" si="69"/>
        <v>0</v>
      </c>
      <c r="BO27" s="38"/>
      <c r="BP27" s="39">
        <f t="shared" si="70"/>
        <v>0</v>
      </c>
      <c r="BQ27" s="38"/>
      <c r="BR27" s="39">
        <f t="shared" si="71"/>
        <v>0</v>
      </c>
      <c r="BS27" s="38"/>
      <c r="BT27" s="39">
        <f t="shared" si="72"/>
        <v>0</v>
      </c>
      <c r="BU27" s="38"/>
      <c r="BV27" s="39">
        <f t="shared" si="73"/>
        <v>0</v>
      </c>
      <c r="BW27" s="40"/>
      <c r="BX27" s="36"/>
      <c r="BY27" s="37">
        <f t="shared" si="74"/>
        <v>0</v>
      </c>
      <c r="BZ27" s="38"/>
      <c r="CA27" s="39">
        <f t="shared" si="75"/>
        <v>0</v>
      </c>
      <c r="CB27" s="38"/>
      <c r="CC27" s="39">
        <f t="shared" si="76"/>
        <v>0</v>
      </c>
      <c r="CD27" s="38"/>
      <c r="CE27" s="39">
        <f t="shared" si="77"/>
        <v>0</v>
      </c>
      <c r="CF27" s="38"/>
      <c r="CG27" s="39">
        <f t="shared" si="78"/>
        <v>0</v>
      </c>
      <c r="CH27" s="40"/>
      <c r="CI27" s="36"/>
      <c r="CJ27" s="37">
        <f t="shared" si="79"/>
        <v>0</v>
      </c>
      <c r="CK27" s="38"/>
      <c r="CL27" s="39">
        <f t="shared" si="80"/>
        <v>0</v>
      </c>
      <c r="CM27" s="38"/>
      <c r="CN27" s="39">
        <f t="shared" si="81"/>
        <v>0</v>
      </c>
      <c r="CO27" s="38"/>
      <c r="CP27" s="39">
        <f t="shared" si="82"/>
        <v>0</v>
      </c>
      <c r="CQ27" s="38"/>
      <c r="CR27" s="39">
        <f t="shared" si="83"/>
        <v>0</v>
      </c>
      <c r="CS27" s="41">
        <f t="shared" si="1"/>
        <v>270000</v>
      </c>
      <c r="CT27" s="41">
        <f t="shared" si="2"/>
        <v>270000</v>
      </c>
      <c r="CU27" s="41" t="e">
        <f>M27+O27+Q27+S27+#REF!+X27+Z27+AB27+AD27+#REF!+AI27+AK27+AM27+AO27+#REF!+AT27+AV27+AX27+AZ27+#REF!+BE27+BG27+BI27+BK27+#REF!+BP27+BR27+BT27+BV27+#REF!+CA27+CC27+CE27+CG27+#REF!+CL27+CN27+CP27+CR27+#REF!</f>
        <v>#REF!</v>
      </c>
      <c r="CV27" s="16" t="e">
        <f t="shared" si="43"/>
        <v>#REF!</v>
      </c>
    </row>
    <row r="28" spans="1:100" x14ac:dyDescent="0.25">
      <c r="B28" s="99" t="s">
        <v>144</v>
      </c>
      <c r="C28" s="100" t="s">
        <v>33</v>
      </c>
      <c r="D28" s="101">
        <v>100</v>
      </c>
      <c r="E28" s="191">
        <f>H28*$K$106</f>
        <v>244.89599999999999</v>
      </c>
      <c r="F28" s="94">
        <f>D28*E28</f>
        <v>24489.599999999999</v>
      </c>
      <c r="G28" s="40"/>
      <c r="H28" s="162">
        <v>240</v>
      </c>
      <c r="I28" s="40"/>
      <c r="J28" s="36"/>
      <c r="K28" s="37"/>
      <c r="L28" s="38"/>
      <c r="M28" s="39"/>
      <c r="N28" s="38"/>
      <c r="O28" s="39"/>
      <c r="P28" s="38"/>
      <c r="Q28" s="39"/>
      <c r="R28" s="38"/>
      <c r="S28" s="39"/>
      <c r="T28" s="40"/>
      <c r="U28" s="36"/>
      <c r="V28" s="37"/>
      <c r="W28" s="38"/>
      <c r="X28" s="39"/>
      <c r="Y28" s="38"/>
      <c r="Z28" s="39"/>
      <c r="AA28" s="38"/>
      <c r="AB28" s="39"/>
      <c r="AC28" s="38"/>
      <c r="AD28" s="39"/>
      <c r="AE28" s="40"/>
      <c r="AF28" s="36"/>
      <c r="AG28" s="37"/>
      <c r="AH28" s="38"/>
      <c r="AI28" s="39"/>
      <c r="AJ28" s="38"/>
      <c r="AK28" s="39"/>
      <c r="AL28" s="38"/>
      <c r="AM28" s="39"/>
      <c r="AN28" s="38"/>
      <c r="AO28" s="39"/>
      <c r="AP28" s="40"/>
      <c r="AQ28" s="36"/>
      <c r="AR28" s="37"/>
      <c r="AS28" s="38"/>
      <c r="AT28" s="39"/>
      <c r="AU28" s="38"/>
      <c r="AV28" s="39"/>
      <c r="AW28" s="38"/>
      <c r="AX28" s="39"/>
      <c r="AY28" s="38"/>
      <c r="AZ28" s="39"/>
      <c r="BA28" s="40"/>
      <c r="BB28" s="36"/>
      <c r="BC28" s="37"/>
      <c r="BD28" s="38"/>
      <c r="BE28" s="39"/>
      <c r="BF28" s="38"/>
      <c r="BG28" s="39"/>
      <c r="BH28" s="38"/>
      <c r="BI28" s="39"/>
      <c r="BJ28" s="38"/>
      <c r="BK28" s="39"/>
      <c r="BL28" s="40"/>
      <c r="BM28" s="36"/>
      <c r="BN28" s="37"/>
      <c r="BO28" s="38"/>
      <c r="BP28" s="39"/>
      <c r="BQ28" s="38"/>
      <c r="BR28" s="39"/>
      <c r="BS28" s="38"/>
      <c r="BT28" s="39"/>
      <c r="BU28" s="38"/>
      <c r="BV28" s="39"/>
      <c r="BW28" s="40"/>
      <c r="BX28" s="36"/>
      <c r="BY28" s="37"/>
      <c r="BZ28" s="38"/>
      <c r="CA28" s="39"/>
      <c r="CB28" s="38"/>
      <c r="CC28" s="39"/>
      <c r="CD28" s="38"/>
      <c r="CE28" s="39"/>
      <c r="CF28" s="38"/>
      <c r="CG28" s="39"/>
      <c r="CH28" s="40"/>
      <c r="CI28" s="36"/>
      <c r="CJ28" s="37"/>
      <c r="CK28" s="38"/>
      <c r="CL28" s="39"/>
      <c r="CM28" s="38"/>
      <c r="CN28" s="39"/>
      <c r="CO28" s="38"/>
      <c r="CP28" s="39"/>
      <c r="CQ28" s="38"/>
      <c r="CR28" s="39"/>
      <c r="CS28" s="41"/>
      <c r="CT28" s="41"/>
      <c r="CU28" s="41"/>
      <c r="CV28" s="16"/>
    </row>
    <row r="29" spans="1:100" x14ac:dyDescent="0.25">
      <c r="B29" s="99" t="s">
        <v>163</v>
      </c>
      <c r="C29" s="100" t="s">
        <v>36</v>
      </c>
      <c r="D29" s="101">
        <f>F29/E29</f>
        <v>146742.94616133551</v>
      </c>
      <c r="E29" s="47">
        <f>$K$97</f>
        <v>-0.31414430979039298</v>
      </c>
      <c r="F29" s="94">
        <v>-46098.461538461539</v>
      </c>
      <c r="G29" s="40"/>
      <c r="H29" s="162">
        <v>-0.37</v>
      </c>
      <c r="I29" s="40"/>
      <c r="J29" s="36"/>
      <c r="K29" s="37">
        <f t="shared" ref="K29" si="84">J29*$F29</f>
        <v>0</v>
      </c>
      <c r="L29" s="38"/>
      <c r="M29" s="39">
        <f t="shared" ref="M29" si="85">L29*K29</f>
        <v>0</v>
      </c>
      <c r="N29" s="38"/>
      <c r="O29" s="39">
        <f t="shared" ref="O29" si="86">N29*K29</f>
        <v>0</v>
      </c>
      <c r="P29" s="38"/>
      <c r="Q29" s="39">
        <f t="shared" ref="Q29" si="87">P29*K29</f>
        <v>0</v>
      </c>
      <c r="R29" s="38"/>
      <c r="S29" s="39">
        <f t="shared" ref="S29" si="88">R29*K29</f>
        <v>0</v>
      </c>
      <c r="T29" s="40"/>
      <c r="U29" s="36"/>
      <c r="V29" s="37">
        <f t="shared" ref="V29" si="89">U29*$F29</f>
        <v>0</v>
      </c>
      <c r="W29" s="38"/>
      <c r="X29" s="39">
        <f t="shared" ref="X29" si="90">W29*V29</f>
        <v>0</v>
      </c>
      <c r="Y29" s="38"/>
      <c r="Z29" s="39">
        <f t="shared" ref="Z29" si="91">Y29*V29</f>
        <v>0</v>
      </c>
      <c r="AA29" s="38"/>
      <c r="AB29" s="39">
        <f t="shared" ref="AB29" si="92">AA29*V29</f>
        <v>0</v>
      </c>
      <c r="AC29" s="38"/>
      <c r="AD29" s="39">
        <f t="shared" ref="AD29" si="93">AC29*V29</f>
        <v>0</v>
      </c>
      <c r="AE29" s="40"/>
      <c r="AF29" s="36"/>
      <c r="AG29" s="37">
        <f t="shared" ref="AG29" si="94">AF29*$F29</f>
        <v>0</v>
      </c>
      <c r="AH29" s="38"/>
      <c r="AI29" s="39">
        <f t="shared" ref="AI29" si="95">AH29*AG29</f>
        <v>0</v>
      </c>
      <c r="AJ29" s="38"/>
      <c r="AK29" s="39">
        <f t="shared" ref="AK29" si="96">AJ29*AG29</f>
        <v>0</v>
      </c>
      <c r="AL29" s="38"/>
      <c r="AM29" s="39">
        <f t="shared" ref="AM29" si="97">AL29*AG29</f>
        <v>0</v>
      </c>
      <c r="AN29" s="38"/>
      <c r="AO29" s="39">
        <f t="shared" ref="AO29" si="98">AN29*AG29</f>
        <v>0</v>
      </c>
      <c r="AP29" s="40"/>
      <c r="AQ29" s="36"/>
      <c r="AR29" s="37">
        <f t="shared" ref="AR29" si="99">AQ29*$F29</f>
        <v>0</v>
      </c>
      <c r="AS29" s="38"/>
      <c r="AT29" s="39">
        <f t="shared" ref="AT29" si="100">AS29*AR29</f>
        <v>0</v>
      </c>
      <c r="AU29" s="38"/>
      <c r="AV29" s="39">
        <f t="shared" ref="AV29" si="101">AU29*AR29</f>
        <v>0</v>
      </c>
      <c r="AW29" s="38"/>
      <c r="AX29" s="39">
        <f t="shared" ref="AX29" si="102">AW29*AR29</f>
        <v>0</v>
      </c>
      <c r="AY29" s="38"/>
      <c r="AZ29" s="39">
        <f t="shared" ref="AZ29" si="103">AY29*AR29</f>
        <v>0</v>
      </c>
      <c r="BA29" s="40"/>
      <c r="BB29" s="36"/>
      <c r="BC29" s="37">
        <f t="shared" ref="BC29" si="104">BB29*$F29</f>
        <v>0</v>
      </c>
      <c r="BD29" s="38"/>
      <c r="BE29" s="39">
        <f t="shared" ref="BE29" si="105">BD29*BC29</f>
        <v>0</v>
      </c>
      <c r="BF29" s="38"/>
      <c r="BG29" s="39">
        <f t="shared" ref="BG29" si="106">BF29*BC29</f>
        <v>0</v>
      </c>
      <c r="BH29" s="38"/>
      <c r="BI29" s="39">
        <f t="shared" ref="BI29" si="107">BH29*BC29</f>
        <v>0</v>
      </c>
      <c r="BJ29" s="38"/>
      <c r="BK29" s="39">
        <f t="shared" ref="BK29" si="108">BJ29*BC29</f>
        <v>0</v>
      </c>
      <c r="BL29" s="40"/>
      <c r="BM29" s="36">
        <v>1</v>
      </c>
      <c r="BN29" s="37">
        <f t="shared" ref="BN29" si="109">BM29*$F29</f>
        <v>-46098.461538461539</v>
      </c>
      <c r="BO29" s="38">
        <v>1</v>
      </c>
      <c r="BP29" s="39">
        <f t="shared" ref="BP29" si="110">BO29*BN29</f>
        <v>-46098.461538461539</v>
      </c>
      <c r="BQ29" s="38"/>
      <c r="BR29" s="39">
        <f t="shared" ref="BR29" si="111">BQ29*BN29</f>
        <v>0</v>
      </c>
      <c r="BS29" s="38"/>
      <c r="BT29" s="39">
        <f t="shared" ref="BT29" si="112">BS29*BN29</f>
        <v>0</v>
      </c>
      <c r="BU29" s="38"/>
      <c r="BV29" s="39">
        <f t="shared" ref="BV29" si="113">BU29*BN29</f>
        <v>0</v>
      </c>
      <c r="BW29" s="40"/>
      <c r="BX29" s="36"/>
      <c r="BY29" s="37">
        <f t="shared" ref="BY29" si="114">BX29*$F29</f>
        <v>0</v>
      </c>
      <c r="BZ29" s="38"/>
      <c r="CA29" s="39">
        <f t="shared" ref="CA29" si="115">BZ29*BY29</f>
        <v>0</v>
      </c>
      <c r="CB29" s="38"/>
      <c r="CC29" s="39">
        <f t="shared" ref="CC29" si="116">CB29*BY29</f>
        <v>0</v>
      </c>
      <c r="CD29" s="38"/>
      <c r="CE29" s="39">
        <f t="shared" ref="CE29" si="117">CD29*BY29</f>
        <v>0</v>
      </c>
      <c r="CF29" s="38"/>
      <c r="CG29" s="39">
        <f t="shared" ref="CG29" si="118">CF29*BY29</f>
        <v>0</v>
      </c>
      <c r="CH29" s="40"/>
      <c r="CI29" s="36"/>
      <c r="CJ29" s="37">
        <f t="shared" ref="CJ29" si="119">CI29*$F29</f>
        <v>0</v>
      </c>
      <c r="CK29" s="38"/>
      <c r="CL29" s="39">
        <f t="shared" ref="CL29" si="120">CK29*CJ29</f>
        <v>0</v>
      </c>
      <c r="CM29" s="38"/>
      <c r="CN29" s="39">
        <f>CM29*CJ29</f>
        <v>0</v>
      </c>
      <c r="CO29" s="38"/>
      <c r="CP29" s="39">
        <f t="shared" ref="CP29" si="121">CO29*CJ29</f>
        <v>0</v>
      </c>
      <c r="CQ29" s="38"/>
      <c r="CR29" s="39">
        <f t="shared" ref="CR29" si="122">CQ29*CJ29</f>
        <v>0</v>
      </c>
      <c r="CS29" s="41">
        <f>F29</f>
        <v>-46098.461538461539</v>
      </c>
      <c r="CT29" s="41">
        <f>K29+V29+AG29+AR29+BC29+BN29+BY29+CJ29</f>
        <v>-46098.461538461539</v>
      </c>
      <c r="CU29" s="41" t="e">
        <f>M29+O29+Q29+S29+#REF!+X29+Z29+AB29+AD29+#REF!+AI29+AK29+AM29+AO29+#REF!+AT29+AV29+AX29+AZ29+#REF!+BE29+BG29+BI29+BK29+#REF!+BP29+BR29+BT29+BV29+#REF!+CA29+CC29+CE29+CG29+#REF!+CL29+CN29+CP29+CR29+#REF!</f>
        <v>#REF!</v>
      </c>
      <c r="CV29" s="16" t="e">
        <f t="shared" si="43"/>
        <v>#REF!</v>
      </c>
    </row>
    <row r="30" spans="1:100" x14ac:dyDescent="0.25">
      <c r="B30" s="99" t="s">
        <v>146</v>
      </c>
      <c r="C30" s="100" t="s">
        <v>33</v>
      </c>
      <c r="D30" s="101">
        <v>100</v>
      </c>
      <c r="E30" s="34">
        <f>$K$95</f>
        <v>-108.3695731319762</v>
      </c>
      <c r="F30" s="94">
        <f>D30*E30</f>
        <v>-10836.957313197619</v>
      </c>
      <c r="G30" s="40"/>
      <c r="H30" s="162">
        <v>-123.79</v>
      </c>
      <c r="I30" s="40"/>
      <c r="J30" s="36"/>
      <c r="K30" s="37"/>
      <c r="L30" s="38"/>
      <c r="M30" s="39"/>
      <c r="N30" s="38"/>
      <c r="O30" s="39"/>
      <c r="P30" s="38"/>
      <c r="Q30" s="39"/>
      <c r="R30" s="38"/>
      <c r="S30" s="39"/>
      <c r="T30" s="40"/>
      <c r="U30" s="36"/>
      <c r="V30" s="37"/>
      <c r="W30" s="38"/>
      <c r="X30" s="39"/>
      <c r="Y30" s="38"/>
      <c r="Z30" s="39"/>
      <c r="AA30" s="38"/>
      <c r="AB30" s="39"/>
      <c r="AC30" s="38"/>
      <c r="AD30" s="39"/>
      <c r="AE30" s="40"/>
      <c r="AF30" s="36"/>
      <c r="AG30" s="37"/>
      <c r="AH30" s="38"/>
      <c r="AI30" s="39"/>
      <c r="AJ30" s="38"/>
      <c r="AK30" s="39"/>
      <c r="AL30" s="38"/>
      <c r="AM30" s="39"/>
      <c r="AN30" s="38"/>
      <c r="AO30" s="39"/>
      <c r="AP30" s="40"/>
      <c r="AQ30" s="36"/>
      <c r="AR30" s="37"/>
      <c r="AS30" s="38"/>
      <c r="AT30" s="39"/>
      <c r="AU30" s="38"/>
      <c r="AV30" s="39"/>
      <c r="AW30" s="38"/>
      <c r="AX30" s="39"/>
      <c r="AY30" s="38"/>
      <c r="AZ30" s="39"/>
      <c r="BA30" s="40"/>
      <c r="BB30" s="36"/>
      <c r="BC30" s="37"/>
      <c r="BD30" s="38"/>
      <c r="BE30" s="39"/>
      <c r="BF30" s="38"/>
      <c r="BG30" s="39"/>
      <c r="BH30" s="38"/>
      <c r="BI30" s="39"/>
      <c r="BJ30" s="38"/>
      <c r="BK30" s="39"/>
      <c r="BL30" s="40"/>
      <c r="BM30" s="36"/>
      <c r="BN30" s="37"/>
      <c r="BO30" s="38"/>
      <c r="BP30" s="39"/>
      <c r="BQ30" s="38"/>
      <c r="BR30" s="39"/>
      <c r="BS30" s="38"/>
      <c r="BT30" s="39"/>
      <c r="BU30" s="38"/>
      <c r="BV30" s="39"/>
      <c r="BW30" s="40"/>
      <c r="BX30" s="36"/>
      <c r="BY30" s="37"/>
      <c r="BZ30" s="38"/>
      <c r="CA30" s="39"/>
      <c r="CB30" s="38"/>
      <c r="CC30" s="39"/>
      <c r="CD30" s="38"/>
      <c r="CE30" s="39"/>
      <c r="CF30" s="38"/>
      <c r="CG30" s="39"/>
      <c r="CH30" s="40"/>
      <c r="CI30" s="36"/>
      <c r="CJ30" s="37"/>
      <c r="CK30" s="38"/>
      <c r="CL30" s="39"/>
      <c r="CM30" s="38"/>
      <c r="CN30" s="39"/>
      <c r="CO30" s="38"/>
      <c r="CP30" s="39"/>
      <c r="CQ30" s="38"/>
      <c r="CR30" s="39"/>
      <c r="CS30" s="41"/>
      <c r="CT30" s="41"/>
      <c r="CU30" s="41"/>
      <c r="CV30" s="16"/>
    </row>
    <row r="31" spans="1:100" x14ac:dyDescent="0.25">
      <c r="B31" s="46" t="s">
        <v>44</v>
      </c>
      <c r="C31" s="42" t="s">
        <v>40</v>
      </c>
      <c r="D31" s="53">
        <v>10481.481481481482</v>
      </c>
      <c r="E31" s="34">
        <v>40</v>
      </c>
      <c r="F31" s="94">
        <v>419259.25925925927</v>
      </c>
      <c r="G31" s="40"/>
      <c r="H31" s="162">
        <v>40</v>
      </c>
      <c r="I31" s="40"/>
      <c r="J31" s="36"/>
      <c r="K31" s="37">
        <f t="shared" ref="K31" si="123">J31*$F31</f>
        <v>0</v>
      </c>
      <c r="L31" s="38"/>
      <c r="M31" s="39">
        <f t="shared" ref="M31" si="124">L31*K31</f>
        <v>0</v>
      </c>
      <c r="N31" s="38"/>
      <c r="O31" s="39">
        <f t="shared" ref="O31" si="125">N31*K31</f>
        <v>0</v>
      </c>
      <c r="P31" s="38"/>
      <c r="Q31" s="39">
        <f t="shared" ref="Q31" si="126">P31*K31</f>
        <v>0</v>
      </c>
      <c r="R31" s="38"/>
      <c r="S31" s="39">
        <f t="shared" ref="S31" si="127">R31*K31</f>
        <v>0</v>
      </c>
      <c r="T31" s="40"/>
      <c r="U31" s="36">
        <v>1</v>
      </c>
      <c r="V31" s="37">
        <f t="shared" ref="V31" si="128">U31*$F31</f>
        <v>419259.25925925927</v>
      </c>
      <c r="W31" s="38">
        <v>1</v>
      </c>
      <c r="X31" s="39">
        <f t="shared" ref="X31" si="129">W31*V31</f>
        <v>419259.25925925927</v>
      </c>
      <c r="Y31" s="38"/>
      <c r="Z31" s="39">
        <f t="shared" ref="Z31" si="130">Y31*V31</f>
        <v>0</v>
      </c>
      <c r="AA31" s="38"/>
      <c r="AB31" s="39">
        <f t="shared" ref="AB31" si="131">AA31*V31</f>
        <v>0</v>
      </c>
      <c r="AC31" s="38"/>
      <c r="AD31" s="39">
        <f t="shared" ref="AD31" si="132">AC31*V31</f>
        <v>0</v>
      </c>
      <c r="AE31" s="40"/>
      <c r="AF31" s="36"/>
      <c r="AG31" s="37">
        <f t="shared" ref="AG31" si="133">AF31*$F31</f>
        <v>0</v>
      </c>
      <c r="AH31" s="38"/>
      <c r="AI31" s="39">
        <f t="shared" ref="AI31" si="134">AH31*AG31</f>
        <v>0</v>
      </c>
      <c r="AJ31" s="38"/>
      <c r="AK31" s="39">
        <f t="shared" ref="AK31" si="135">AJ31*AG31</f>
        <v>0</v>
      </c>
      <c r="AL31" s="38"/>
      <c r="AM31" s="39">
        <f t="shared" ref="AM31" si="136">AL31*AG31</f>
        <v>0</v>
      </c>
      <c r="AN31" s="38"/>
      <c r="AO31" s="39">
        <f t="shared" ref="AO31" si="137">AN31*AG31</f>
        <v>0</v>
      </c>
      <c r="AP31" s="40"/>
      <c r="AQ31" s="36"/>
      <c r="AR31" s="37">
        <f t="shared" ref="AR31" si="138">AQ31*$F31</f>
        <v>0</v>
      </c>
      <c r="AS31" s="38"/>
      <c r="AT31" s="39">
        <f t="shared" ref="AT31" si="139">AS31*AR31</f>
        <v>0</v>
      </c>
      <c r="AU31" s="38"/>
      <c r="AV31" s="39">
        <f t="shared" ref="AV31" si="140">AU31*AR31</f>
        <v>0</v>
      </c>
      <c r="AW31" s="38"/>
      <c r="AX31" s="39">
        <f t="shared" ref="AX31" si="141">AW31*AR31</f>
        <v>0</v>
      </c>
      <c r="AY31" s="38"/>
      <c r="AZ31" s="39">
        <f t="shared" ref="AZ31" si="142">AY31*AR31</f>
        <v>0</v>
      </c>
      <c r="BA31" s="40"/>
      <c r="BB31" s="36"/>
      <c r="BC31" s="37">
        <f t="shared" ref="BC31" si="143">BB31*$F31</f>
        <v>0</v>
      </c>
      <c r="BD31" s="38"/>
      <c r="BE31" s="39">
        <f t="shared" ref="BE31" si="144">BD31*BC31</f>
        <v>0</v>
      </c>
      <c r="BF31" s="38"/>
      <c r="BG31" s="39">
        <f t="shared" ref="BG31" si="145">BF31*BC31</f>
        <v>0</v>
      </c>
      <c r="BH31" s="38"/>
      <c r="BI31" s="39">
        <f t="shared" ref="BI31" si="146">BH31*BC31</f>
        <v>0</v>
      </c>
      <c r="BJ31" s="38"/>
      <c r="BK31" s="39">
        <f t="shared" ref="BK31" si="147">BJ31*BC31</f>
        <v>0</v>
      </c>
      <c r="BL31" s="40"/>
      <c r="BM31" s="36"/>
      <c r="BN31" s="37">
        <f t="shared" ref="BN31" si="148">BM31*$F31</f>
        <v>0</v>
      </c>
      <c r="BO31" s="38"/>
      <c r="BP31" s="39">
        <f t="shared" ref="BP31" si="149">BO31*BN31</f>
        <v>0</v>
      </c>
      <c r="BQ31" s="38"/>
      <c r="BR31" s="39">
        <f t="shared" ref="BR31" si="150">BQ31*BN31</f>
        <v>0</v>
      </c>
      <c r="BS31" s="38"/>
      <c r="BT31" s="39">
        <f t="shared" ref="BT31" si="151">BS31*BN31</f>
        <v>0</v>
      </c>
      <c r="BU31" s="38"/>
      <c r="BV31" s="39">
        <f t="shared" ref="BV31" si="152">BU31*BN31</f>
        <v>0</v>
      </c>
      <c r="BW31" s="40"/>
      <c r="BX31" s="36"/>
      <c r="BY31" s="37">
        <f t="shared" ref="BY31" si="153">BX31*$F31</f>
        <v>0</v>
      </c>
      <c r="BZ31" s="38"/>
      <c r="CA31" s="39">
        <f t="shared" ref="CA31" si="154">BZ31*BY31</f>
        <v>0</v>
      </c>
      <c r="CB31" s="38"/>
      <c r="CC31" s="39">
        <f t="shared" ref="CC31" si="155">CB31*BY31</f>
        <v>0</v>
      </c>
      <c r="CD31" s="38"/>
      <c r="CE31" s="39">
        <f t="shared" ref="CE31" si="156">CD31*BY31</f>
        <v>0</v>
      </c>
      <c r="CF31" s="38"/>
      <c r="CG31" s="39">
        <f t="shared" ref="CG31" si="157">CF31*BY31</f>
        <v>0</v>
      </c>
      <c r="CH31" s="40"/>
      <c r="CI31" s="36"/>
      <c r="CJ31" s="37">
        <f t="shared" ref="CJ31" si="158">CI31*$F31</f>
        <v>0</v>
      </c>
      <c r="CK31" s="38"/>
      <c r="CL31" s="39">
        <f t="shared" ref="CL31" si="159">CK31*CJ31</f>
        <v>0</v>
      </c>
      <c r="CM31" s="38"/>
      <c r="CN31" s="39">
        <f t="shared" ref="CN31" si="160">CM31*CJ31</f>
        <v>0</v>
      </c>
      <c r="CO31" s="38"/>
      <c r="CP31" s="39">
        <f t="shared" ref="CP31" si="161">CO31*CJ31</f>
        <v>0</v>
      </c>
      <c r="CQ31" s="38"/>
      <c r="CR31" s="39">
        <f t="shared" ref="CR31" si="162">CQ31*CJ31</f>
        <v>0</v>
      </c>
      <c r="CS31" s="41">
        <f>F31</f>
        <v>419259.25925925927</v>
      </c>
      <c r="CT31" s="41">
        <f>K31+V31+AG31+AR31+BC31+BN31+BY31+CJ31</f>
        <v>419259.25925925927</v>
      </c>
      <c r="CU31" s="41" t="e">
        <f>M31+O31+Q31+S31+#REF!+X31+Z31+AB31+AD31+#REF!+AI31+AK31+AM31+AO31+#REF!+AT31+AV31+AX31+AZ31+#REF!+BE31+BG31+BI31+BK31+#REF!+BP31+BR31+BT31+BV31+#REF!+CA31+CC31+CE31+CG31+#REF!+CL31+CN31+CP31+CR31+#REF!</f>
        <v>#REF!</v>
      </c>
      <c r="CV31" s="16" t="e">
        <f t="shared" si="43"/>
        <v>#REF!</v>
      </c>
    </row>
    <row r="32" spans="1:100" x14ac:dyDescent="0.25">
      <c r="B32" s="46"/>
      <c r="C32" s="42"/>
      <c r="D32" s="43"/>
      <c r="E32" s="34"/>
      <c r="F32" s="102"/>
      <c r="G32" s="40"/>
      <c r="H32" s="162">
        <v>0</v>
      </c>
      <c r="I32" s="40"/>
      <c r="J32" s="36"/>
      <c r="K32" s="37"/>
      <c r="L32" s="38"/>
      <c r="M32" s="39"/>
      <c r="N32" s="38"/>
      <c r="O32" s="39"/>
      <c r="P32" s="38"/>
      <c r="Q32" s="39"/>
      <c r="R32" s="38"/>
      <c r="S32" s="39"/>
      <c r="T32" s="40"/>
      <c r="U32" s="36"/>
      <c r="V32" s="37"/>
      <c r="W32" s="38"/>
      <c r="X32" s="39"/>
      <c r="Y32" s="38"/>
      <c r="Z32" s="39"/>
      <c r="AA32" s="38"/>
      <c r="AB32" s="39"/>
      <c r="AC32" s="38"/>
      <c r="AD32" s="39"/>
      <c r="AE32" s="40"/>
      <c r="AF32" s="36"/>
      <c r="AG32" s="37"/>
      <c r="AH32" s="38"/>
      <c r="AI32" s="39"/>
      <c r="AJ32" s="38"/>
      <c r="AK32" s="39"/>
      <c r="AL32" s="38"/>
      <c r="AM32" s="39"/>
      <c r="AN32" s="38"/>
      <c r="AO32" s="39"/>
      <c r="AP32" s="40"/>
      <c r="AQ32" s="36"/>
      <c r="AR32" s="37"/>
      <c r="AS32" s="38"/>
      <c r="AT32" s="39"/>
      <c r="AU32" s="38"/>
      <c r="AV32" s="39"/>
      <c r="AW32" s="38"/>
      <c r="AX32" s="39"/>
      <c r="AY32" s="38"/>
      <c r="AZ32" s="39"/>
      <c r="BA32" s="40"/>
      <c r="BB32" s="36"/>
      <c r="BC32" s="37"/>
      <c r="BD32" s="38"/>
      <c r="BE32" s="39"/>
      <c r="BF32" s="38"/>
      <c r="BG32" s="39"/>
      <c r="BH32" s="38"/>
      <c r="BI32" s="39"/>
      <c r="BJ32" s="38"/>
      <c r="BK32" s="39"/>
      <c r="BL32" s="40"/>
      <c r="BM32" s="36"/>
      <c r="BN32" s="37"/>
      <c r="BO32" s="38"/>
      <c r="BP32" s="39"/>
      <c r="BQ32" s="38"/>
      <c r="BR32" s="39"/>
      <c r="BS32" s="38"/>
      <c r="BT32" s="39"/>
      <c r="BU32" s="38"/>
      <c r="BV32" s="39"/>
      <c r="BW32" s="40"/>
      <c r="BX32" s="36"/>
      <c r="BY32" s="37"/>
      <c r="BZ32" s="38"/>
      <c r="CA32" s="39"/>
      <c r="CB32" s="38"/>
      <c r="CC32" s="39"/>
      <c r="CD32" s="38"/>
      <c r="CE32" s="39"/>
      <c r="CF32" s="38"/>
      <c r="CG32" s="39"/>
      <c r="CH32" s="40"/>
      <c r="CI32" s="36"/>
      <c r="CJ32" s="37"/>
      <c r="CK32" s="38"/>
      <c r="CL32" s="39"/>
      <c r="CM32" s="38"/>
      <c r="CN32" s="39"/>
      <c r="CO32" s="38"/>
      <c r="CP32" s="39"/>
      <c r="CQ32" s="38"/>
      <c r="CR32" s="39"/>
      <c r="CS32" s="41"/>
      <c r="CT32" s="41"/>
      <c r="CU32" s="41" t="e">
        <f>M32+O32+Q32+S32+#REF!+X32+Z32+AB32+AD32+#REF!+AI32+AK32+AM32+AO32+#REF!+AT32+AV32+AX32+AZ32+#REF!+BE32+BG32+BI32+BK32+#REF!+BP32+BR32+BT32+BV32+#REF!+CA32+CC32+CE32+CG32+#REF!+CL32+CN32+CP32+CR32+#REF!</f>
        <v>#REF!</v>
      </c>
      <c r="CV32" s="16"/>
    </row>
    <row r="33" spans="1:100" x14ac:dyDescent="0.25">
      <c r="A33" s="1" t="s">
        <v>188</v>
      </c>
      <c r="C33" s="42"/>
      <c r="D33" s="43"/>
      <c r="E33" s="34"/>
      <c r="F33" s="102">
        <f t="shared" ref="F33" si="163">D33*E33</f>
        <v>0</v>
      </c>
      <c r="G33" s="40"/>
      <c r="H33" s="162">
        <v>0</v>
      </c>
      <c r="I33" s="40"/>
      <c r="J33" s="36"/>
      <c r="K33" s="37">
        <f t="shared" ref="K33:K42" si="164">J33*$F33</f>
        <v>0</v>
      </c>
      <c r="L33" s="38"/>
      <c r="M33" s="39">
        <f t="shared" ref="M33:M42" si="165">L33*K33</f>
        <v>0</v>
      </c>
      <c r="N33" s="38"/>
      <c r="O33" s="39">
        <f t="shared" ref="O33:O42" si="166">N33*K33</f>
        <v>0</v>
      </c>
      <c r="P33" s="38"/>
      <c r="Q33" s="39">
        <f t="shared" ref="Q33:Q42" si="167">P33*K33</f>
        <v>0</v>
      </c>
      <c r="R33" s="38"/>
      <c r="S33" s="39">
        <f t="shared" ref="S33:S42" si="168">R33*K33</f>
        <v>0</v>
      </c>
      <c r="T33" s="40"/>
      <c r="U33" s="36"/>
      <c r="V33" s="37">
        <f t="shared" ref="V33:V42" si="169">U33*$F33</f>
        <v>0</v>
      </c>
      <c r="W33" s="38"/>
      <c r="X33" s="39">
        <f t="shared" ref="X33:X42" si="170">W33*V33</f>
        <v>0</v>
      </c>
      <c r="Y33" s="38"/>
      <c r="Z33" s="39">
        <f t="shared" ref="Z33:Z42" si="171">Y33*V33</f>
        <v>0</v>
      </c>
      <c r="AA33" s="38"/>
      <c r="AB33" s="39">
        <f t="shared" ref="AB33:AB42" si="172">AA33*V33</f>
        <v>0</v>
      </c>
      <c r="AC33" s="38"/>
      <c r="AD33" s="39">
        <f t="shared" ref="AD33:AD42" si="173">AC33*V33</f>
        <v>0</v>
      </c>
      <c r="AE33" s="40"/>
      <c r="AF33" s="36"/>
      <c r="AG33" s="37">
        <f t="shared" ref="AG33:AG42" si="174">AF33*$F33</f>
        <v>0</v>
      </c>
      <c r="AH33" s="38"/>
      <c r="AI33" s="39">
        <f t="shared" ref="AI33:AI42" si="175">AH33*AG33</f>
        <v>0</v>
      </c>
      <c r="AJ33" s="38"/>
      <c r="AK33" s="39">
        <f t="shared" ref="AK33:AK42" si="176">AJ33*AG33</f>
        <v>0</v>
      </c>
      <c r="AL33" s="38"/>
      <c r="AM33" s="39">
        <f t="shared" ref="AM33:AM42" si="177">AL33*AG33</f>
        <v>0</v>
      </c>
      <c r="AN33" s="38"/>
      <c r="AO33" s="39">
        <f t="shared" ref="AO33:AO42" si="178">AN33*AG33</f>
        <v>0</v>
      </c>
      <c r="AP33" s="40"/>
      <c r="AQ33" s="36"/>
      <c r="AR33" s="37">
        <f t="shared" ref="AR33:AR42" si="179">AQ33*$F33</f>
        <v>0</v>
      </c>
      <c r="AS33" s="38"/>
      <c r="AT33" s="39">
        <f t="shared" ref="AT33:AT42" si="180">AS33*AR33</f>
        <v>0</v>
      </c>
      <c r="AU33" s="38"/>
      <c r="AV33" s="39">
        <f t="shared" ref="AV33:AV42" si="181">AU33*AR33</f>
        <v>0</v>
      </c>
      <c r="AW33" s="38"/>
      <c r="AX33" s="39">
        <f t="shared" ref="AX33:AX42" si="182">AW33*AR33</f>
        <v>0</v>
      </c>
      <c r="AY33" s="38"/>
      <c r="AZ33" s="39">
        <f t="shared" ref="AZ33:AZ42" si="183">AY33*AR33</f>
        <v>0</v>
      </c>
      <c r="BA33" s="40"/>
      <c r="BB33" s="36"/>
      <c r="BC33" s="37">
        <f t="shared" ref="BC33:BC42" si="184">BB33*$F33</f>
        <v>0</v>
      </c>
      <c r="BD33" s="38"/>
      <c r="BE33" s="39">
        <f t="shared" ref="BE33:BE42" si="185">BD33*BC33</f>
        <v>0</v>
      </c>
      <c r="BF33" s="38"/>
      <c r="BG33" s="39">
        <f t="shared" ref="BG33:BG42" si="186">BF33*BC33</f>
        <v>0</v>
      </c>
      <c r="BH33" s="38"/>
      <c r="BI33" s="39">
        <f t="shared" ref="BI33:BI42" si="187">BH33*BC33</f>
        <v>0</v>
      </c>
      <c r="BJ33" s="38"/>
      <c r="BK33" s="39">
        <f t="shared" ref="BK33:BK42" si="188">BJ33*BC33</f>
        <v>0</v>
      </c>
      <c r="BL33" s="40"/>
      <c r="BM33" s="36"/>
      <c r="BN33" s="37">
        <f t="shared" ref="BN33:BN42" si="189">BM33*$F33</f>
        <v>0</v>
      </c>
      <c r="BO33" s="38"/>
      <c r="BP33" s="39">
        <f t="shared" ref="BP33:BP42" si="190">BO33*BN33</f>
        <v>0</v>
      </c>
      <c r="BQ33" s="38"/>
      <c r="BR33" s="39">
        <f t="shared" ref="BR33:BR42" si="191">BQ33*BN33</f>
        <v>0</v>
      </c>
      <c r="BS33" s="38"/>
      <c r="BT33" s="39">
        <f t="shared" ref="BT33:BT42" si="192">BS33*BN33</f>
        <v>0</v>
      </c>
      <c r="BU33" s="38"/>
      <c r="BV33" s="39">
        <f t="shared" ref="BV33:BV42" si="193">BU33*BN33</f>
        <v>0</v>
      </c>
      <c r="BW33" s="40"/>
      <c r="BX33" s="36"/>
      <c r="BY33" s="37">
        <f t="shared" ref="BY33:BY42" si="194">BX33*$F33</f>
        <v>0</v>
      </c>
      <c r="BZ33" s="38"/>
      <c r="CA33" s="39">
        <f t="shared" ref="CA33:CA42" si="195">BZ33*BY33</f>
        <v>0</v>
      </c>
      <c r="CB33" s="38"/>
      <c r="CC33" s="39">
        <f t="shared" ref="CC33:CC42" si="196">CB33*BY33</f>
        <v>0</v>
      </c>
      <c r="CD33" s="38"/>
      <c r="CE33" s="39">
        <f t="shared" ref="CE33:CE42" si="197">CD33*BY33</f>
        <v>0</v>
      </c>
      <c r="CF33" s="38"/>
      <c r="CG33" s="39">
        <f t="shared" ref="CG33:CG42" si="198">CF33*BY33</f>
        <v>0</v>
      </c>
      <c r="CH33" s="40"/>
      <c r="CI33" s="36"/>
      <c r="CJ33" s="37">
        <f t="shared" ref="CJ33:CJ42" si="199">CI33*$F33</f>
        <v>0</v>
      </c>
      <c r="CK33" s="38"/>
      <c r="CL33" s="39">
        <f t="shared" ref="CL33:CL42" si="200">CK33*CJ33</f>
        <v>0</v>
      </c>
      <c r="CM33" s="38"/>
      <c r="CN33" s="39">
        <f t="shared" ref="CN33:CN42" si="201">CM33*CJ33</f>
        <v>0</v>
      </c>
      <c r="CO33" s="38"/>
      <c r="CP33" s="39">
        <f t="shared" ref="CP33:CP42" si="202">CO33*CJ33</f>
        <v>0</v>
      </c>
      <c r="CQ33" s="38"/>
      <c r="CR33" s="39">
        <f t="shared" ref="CR33:CR42" si="203">CQ33*CJ33</f>
        <v>0</v>
      </c>
      <c r="CS33" s="41">
        <f t="shared" ref="CS33:CS42" si="204">F33</f>
        <v>0</v>
      </c>
      <c r="CT33" s="41">
        <f t="shared" ref="CT33:CT42" si="205">K33+V33+AG33+AR33+BC33+BN33+BY33+CJ33</f>
        <v>0</v>
      </c>
      <c r="CU33" s="41" t="e">
        <f>M33+O33+Q33+S33+#REF!+X33+Z33+AB33+AD33+#REF!+AI33+AK33+AM33+AO33+#REF!+AT33+AV33+AX33+AZ33+#REF!+BE33+BG33+BI33+BK33+#REF!+BP33+BR33+BT33+BV33+#REF!+CA33+CC33+CE33+CG33+#REF!+CL33+CN33+CP33+CR33+#REF!</f>
        <v>#REF!</v>
      </c>
      <c r="CV33" s="16" t="e">
        <f t="shared" ref="CV33:CV46" si="206">IF(AND(CS33=CT33,CT33=CU33,CS33=CU33),0,1)</f>
        <v>#REF!</v>
      </c>
    </row>
    <row r="34" spans="1:100" x14ac:dyDescent="0.25">
      <c r="B34" s="46" t="s">
        <v>32</v>
      </c>
      <c r="C34" s="42" t="s">
        <v>33</v>
      </c>
      <c r="D34" s="53">
        <f>14394.524-D43</f>
        <v>14274.523999999999</v>
      </c>
      <c r="E34" s="191">
        <f>H34*$K$106</f>
        <v>244.89599999999999</v>
      </c>
      <c r="F34" s="94">
        <f>D34*E34</f>
        <v>3495773.8295039996</v>
      </c>
      <c r="G34" s="40"/>
      <c r="H34" s="162">
        <v>240</v>
      </c>
      <c r="I34" s="40"/>
      <c r="J34" s="36"/>
      <c r="K34" s="37">
        <f t="shared" si="164"/>
        <v>0</v>
      </c>
      <c r="L34" s="38"/>
      <c r="M34" s="39">
        <f t="shared" si="165"/>
        <v>0</v>
      </c>
      <c r="N34" s="38"/>
      <c r="O34" s="39">
        <f t="shared" si="166"/>
        <v>0</v>
      </c>
      <c r="P34" s="38"/>
      <c r="Q34" s="39">
        <f t="shared" si="167"/>
        <v>0</v>
      </c>
      <c r="R34" s="38"/>
      <c r="S34" s="39">
        <f t="shared" si="168"/>
        <v>0</v>
      </c>
      <c r="T34" s="40"/>
      <c r="U34" s="36"/>
      <c r="V34" s="37">
        <f t="shared" si="169"/>
        <v>0</v>
      </c>
      <c r="W34" s="38"/>
      <c r="X34" s="39">
        <f t="shared" si="170"/>
        <v>0</v>
      </c>
      <c r="Y34" s="38"/>
      <c r="Z34" s="39">
        <f t="shared" si="171"/>
        <v>0</v>
      </c>
      <c r="AA34" s="38"/>
      <c r="AB34" s="39">
        <f t="shared" si="172"/>
        <v>0</v>
      </c>
      <c r="AC34" s="38"/>
      <c r="AD34" s="39">
        <f t="shared" si="173"/>
        <v>0</v>
      </c>
      <c r="AE34" s="40"/>
      <c r="AF34" s="36">
        <v>0.6</v>
      </c>
      <c r="AG34" s="37">
        <f t="shared" si="174"/>
        <v>2097464.2977023995</v>
      </c>
      <c r="AH34" s="38"/>
      <c r="AI34" s="39">
        <f t="shared" si="175"/>
        <v>0</v>
      </c>
      <c r="AJ34" s="38">
        <v>1</v>
      </c>
      <c r="AK34" s="39">
        <f t="shared" si="176"/>
        <v>2097464.2977023995</v>
      </c>
      <c r="AL34" s="38"/>
      <c r="AM34" s="39">
        <f t="shared" si="177"/>
        <v>0</v>
      </c>
      <c r="AN34" s="38"/>
      <c r="AO34" s="39">
        <f t="shared" si="178"/>
        <v>0</v>
      </c>
      <c r="AP34" s="40"/>
      <c r="AQ34" s="36">
        <v>0.2</v>
      </c>
      <c r="AR34" s="37">
        <f t="shared" si="179"/>
        <v>699154.7659008</v>
      </c>
      <c r="AS34" s="38"/>
      <c r="AT34" s="39">
        <f t="shared" si="180"/>
        <v>0</v>
      </c>
      <c r="AU34" s="38">
        <v>1</v>
      </c>
      <c r="AV34" s="39">
        <f t="shared" si="181"/>
        <v>699154.7659008</v>
      </c>
      <c r="AW34" s="38"/>
      <c r="AX34" s="39">
        <f t="shared" si="182"/>
        <v>0</v>
      </c>
      <c r="AY34" s="38"/>
      <c r="AZ34" s="39">
        <f t="shared" si="183"/>
        <v>0</v>
      </c>
      <c r="BA34" s="40"/>
      <c r="BB34" s="36">
        <v>0.15</v>
      </c>
      <c r="BC34" s="37">
        <f t="shared" si="184"/>
        <v>524366.07442559989</v>
      </c>
      <c r="BD34" s="38"/>
      <c r="BE34" s="39">
        <f t="shared" si="185"/>
        <v>0</v>
      </c>
      <c r="BF34" s="38">
        <v>1</v>
      </c>
      <c r="BG34" s="39">
        <f t="shared" si="186"/>
        <v>524366.07442559989</v>
      </c>
      <c r="BH34" s="38"/>
      <c r="BI34" s="39">
        <f t="shared" si="187"/>
        <v>0</v>
      </c>
      <c r="BJ34" s="38"/>
      <c r="BK34" s="39">
        <f t="shared" si="188"/>
        <v>0</v>
      </c>
      <c r="BL34" s="40"/>
      <c r="BM34" s="36">
        <v>0.05</v>
      </c>
      <c r="BN34" s="37">
        <f t="shared" si="189"/>
        <v>174788.6914752</v>
      </c>
      <c r="BO34" s="38"/>
      <c r="BP34" s="39">
        <f t="shared" si="190"/>
        <v>0</v>
      </c>
      <c r="BQ34" s="38">
        <v>1</v>
      </c>
      <c r="BR34" s="39">
        <f t="shared" si="191"/>
        <v>174788.6914752</v>
      </c>
      <c r="BS34" s="38"/>
      <c r="BT34" s="39">
        <f t="shared" si="192"/>
        <v>0</v>
      </c>
      <c r="BU34" s="38"/>
      <c r="BV34" s="39">
        <f t="shared" si="193"/>
        <v>0</v>
      </c>
      <c r="BW34" s="40"/>
      <c r="BX34" s="36"/>
      <c r="BY34" s="37">
        <f t="shared" si="194"/>
        <v>0</v>
      </c>
      <c r="BZ34" s="38"/>
      <c r="CA34" s="39">
        <f t="shared" si="195"/>
        <v>0</v>
      </c>
      <c r="CB34" s="38"/>
      <c r="CC34" s="39">
        <f t="shared" si="196"/>
        <v>0</v>
      </c>
      <c r="CD34" s="38"/>
      <c r="CE34" s="39">
        <f t="shared" si="197"/>
        <v>0</v>
      </c>
      <c r="CF34" s="38"/>
      <c r="CG34" s="39">
        <f t="shared" si="198"/>
        <v>0</v>
      </c>
      <c r="CH34" s="40"/>
      <c r="CI34" s="36"/>
      <c r="CJ34" s="37">
        <f t="shared" si="199"/>
        <v>0</v>
      </c>
      <c r="CK34" s="38"/>
      <c r="CL34" s="39">
        <f t="shared" si="200"/>
        <v>0</v>
      </c>
      <c r="CM34" s="38"/>
      <c r="CN34" s="39">
        <f t="shared" si="201"/>
        <v>0</v>
      </c>
      <c r="CO34" s="38"/>
      <c r="CP34" s="39">
        <f t="shared" si="202"/>
        <v>0</v>
      </c>
      <c r="CQ34" s="38"/>
      <c r="CR34" s="39">
        <f t="shared" si="203"/>
        <v>0</v>
      </c>
      <c r="CS34" s="41">
        <f t="shared" si="204"/>
        <v>3495773.8295039996</v>
      </c>
      <c r="CT34" s="41">
        <f t="shared" si="205"/>
        <v>3495773.8295039996</v>
      </c>
      <c r="CU34" s="41" t="e">
        <f>M34+O34+Q34+S34+#REF!+X34+Z34+AB34+AD34+#REF!+AI34+AK34+AM34+AO34+#REF!+AT34+AV34+AX34+AZ34+#REF!+BE34+BG34+BI34+BK34+#REF!+BP34+BR34+BT34+BV34+#REF!+CA34+CC34+CE34+CG34+#REF!+CL34+CN34+CP34+CR34+#REF!</f>
        <v>#REF!</v>
      </c>
      <c r="CV34" s="16" t="e">
        <f t="shared" si="206"/>
        <v>#REF!</v>
      </c>
    </row>
    <row r="35" spans="1:100" x14ac:dyDescent="0.25">
      <c r="B35" s="46" t="s">
        <v>34</v>
      </c>
      <c r="C35" s="42" t="s">
        <v>33</v>
      </c>
      <c r="D35" s="53">
        <f>14394.524-D45</f>
        <v>14274.523999999999</v>
      </c>
      <c r="E35" s="34">
        <f>$K$95</f>
        <v>-108.3695731319762</v>
      </c>
      <c r="F35" s="94">
        <f>D35*E35</f>
        <v>-1546924.0725421493</v>
      </c>
      <c r="G35" s="40"/>
      <c r="H35" s="162">
        <v>-123.79</v>
      </c>
      <c r="I35" s="40"/>
      <c r="J35" s="36"/>
      <c r="K35" s="37">
        <f t="shared" si="164"/>
        <v>0</v>
      </c>
      <c r="L35" s="38"/>
      <c r="M35" s="39">
        <f t="shared" si="165"/>
        <v>0</v>
      </c>
      <c r="N35" s="38"/>
      <c r="O35" s="39">
        <f t="shared" si="166"/>
        <v>0</v>
      </c>
      <c r="P35" s="38"/>
      <c r="Q35" s="39">
        <f t="shared" si="167"/>
        <v>0</v>
      </c>
      <c r="R35" s="38"/>
      <c r="S35" s="39">
        <f t="shared" si="168"/>
        <v>0</v>
      </c>
      <c r="T35" s="40"/>
      <c r="U35" s="36"/>
      <c r="V35" s="37">
        <f t="shared" si="169"/>
        <v>0</v>
      </c>
      <c r="W35" s="38"/>
      <c r="X35" s="39">
        <f t="shared" si="170"/>
        <v>0</v>
      </c>
      <c r="Y35" s="38"/>
      <c r="Z35" s="39">
        <f t="shared" si="171"/>
        <v>0</v>
      </c>
      <c r="AA35" s="38"/>
      <c r="AB35" s="39">
        <f t="shared" si="172"/>
        <v>0</v>
      </c>
      <c r="AC35" s="38"/>
      <c r="AD35" s="39">
        <f t="shared" si="173"/>
        <v>0</v>
      </c>
      <c r="AE35" s="40"/>
      <c r="AF35" s="36">
        <v>0.6</v>
      </c>
      <c r="AG35" s="37">
        <f t="shared" si="174"/>
        <v>-928154.44352528953</v>
      </c>
      <c r="AH35" s="38"/>
      <c r="AI35" s="39">
        <f t="shared" si="175"/>
        <v>0</v>
      </c>
      <c r="AJ35" s="38">
        <v>1</v>
      </c>
      <c r="AK35" s="39">
        <f t="shared" si="176"/>
        <v>-928154.44352528953</v>
      </c>
      <c r="AL35" s="38"/>
      <c r="AM35" s="39">
        <f t="shared" si="177"/>
        <v>0</v>
      </c>
      <c r="AN35" s="38"/>
      <c r="AO35" s="39">
        <f t="shared" si="178"/>
        <v>0</v>
      </c>
      <c r="AP35" s="40"/>
      <c r="AQ35" s="36">
        <v>0.25</v>
      </c>
      <c r="AR35" s="37">
        <f t="shared" si="179"/>
        <v>-386731.01813553734</v>
      </c>
      <c r="AS35" s="38"/>
      <c r="AT35" s="39">
        <f t="shared" si="180"/>
        <v>0</v>
      </c>
      <c r="AU35" s="38">
        <v>1</v>
      </c>
      <c r="AV35" s="39">
        <f t="shared" si="181"/>
        <v>-386731.01813553734</v>
      </c>
      <c r="AW35" s="38"/>
      <c r="AX35" s="39">
        <f t="shared" si="182"/>
        <v>0</v>
      </c>
      <c r="AY35" s="38"/>
      <c r="AZ35" s="39">
        <f t="shared" si="183"/>
        <v>0</v>
      </c>
      <c r="BA35" s="40"/>
      <c r="BB35" s="36">
        <v>0.15</v>
      </c>
      <c r="BC35" s="37">
        <f t="shared" si="184"/>
        <v>-232038.61088132238</v>
      </c>
      <c r="BD35" s="38"/>
      <c r="BE35" s="39">
        <f t="shared" si="185"/>
        <v>0</v>
      </c>
      <c r="BF35" s="38">
        <v>1</v>
      </c>
      <c r="BG35" s="39">
        <f t="shared" si="186"/>
        <v>-232038.61088132238</v>
      </c>
      <c r="BH35" s="38"/>
      <c r="BI35" s="39">
        <f t="shared" si="187"/>
        <v>0</v>
      </c>
      <c r="BJ35" s="38"/>
      <c r="BK35" s="39">
        <f t="shared" si="188"/>
        <v>0</v>
      </c>
      <c r="BL35" s="40"/>
      <c r="BM35" s="36"/>
      <c r="BN35" s="37">
        <f t="shared" si="189"/>
        <v>0</v>
      </c>
      <c r="BO35" s="38"/>
      <c r="BP35" s="39">
        <f t="shared" si="190"/>
        <v>0</v>
      </c>
      <c r="BQ35" s="38"/>
      <c r="BR35" s="39">
        <f t="shared" si="191"/>
        <v>0</v>
      </c>
      <c r="BS35" s="38"/>
      <c r="BT35" s="39">
        <f t="shared" si="192"/>
        <v>0</v>
      </c>
      <c r="BU35" s="38"/>
      <c r="BV35" s="39">
        <f t="shared" si="193"/>
        <v>0</v>
      </c>
      <c r="BW35" s="40"/>
      <c r="BX35" s="36"/>
      <c r="BY35" s="37">
        <f t="shared" si="194"/>
        <v>0</v>
      </c>
      <c r="BZ35" s="38"/>
      <c r="CA35" s="39">
        <f t="shared" si="195"/>
        <v>0</v>
      </c>
      <c r="CB35" s="38"/>
      <c r="CC35" s="39">
        <f t="shared" si="196"/>
        <v>0</v>
      </c>
      <c r="CD35" s="38"/>
      <c r="CE35" s="39">
        <f t="shared" si="197"/>
        <v>0</v>
      </c>
      <c r="CF35" s="38"/>
      <c r="CG35" s="39">
        <f t="shared" si="198"/>
        <v>0</v>
      </c>
      <c r="CH35" s="40"/>
      <c r="CI35" s="36"/>
      <c r="CJ35" s="37">
        <f t="shared" si="199"/>
        <v>0</v>
      </c>
      <c r="CK35" s="38"/>
      <c r="CL35" s="39">
        <f t="shared" si="200"/>
        <v>0</v>
      </c>
      <c r="CM35" s="38"/>
      <c r="CN35" s="39">
        <f t="shared" si="201"/>
        <v>0</v>
      </c>
      <c r="CO35" s="38"/>
      <c r="CP35" s="39">
        <f t="shared" si="202"/>
        <v>0</v>
      </c>
      <c r="CQ35" s="38"/>
      <c r="CR35" s="39">
        <f t="shared" si="203"/>
        <v>0</v>
      </c>
      <c r="CS35" s="41">
        <f t="shared" si="204"/>
        <v>-1546924.0725421493</v>
      </c>
      <c r="CT35" s="41">
        <f t="shared" si="205"/>
        <v>-1546924.0725421491</v>
      </c>
      <c r="CU35" s="41" t="e">
        <f>M35+O35+Q35+S35+#REF!+X35+Z35+AB35+AD35+#REF!+AI35+AK35+AM35+AO35+#REF!+AT35+AV35+AX35+AZ35+#REF!+BE35+BG35+BI35+BK35+#REF!+BP35+BR35+BT35+BV35+#REF!+CA35+CC35+CE35+CG35+#REF!+CL35+CN35+CP35+CR35+#REF!</f>
        <v>#REF!</v>
      </c>
      <c r="CV35" s="16" t="e">
        <f t="shared" si="206"/>
        <v>#REF!</v>
      </c>
    </row>
    <row r="36" spans="1:100" x14ac:dyDescent="0.25">
      <c r="B36" s="46" t="s">
        <v>35</v>
      </c>
      <c r="C36" s="42" t="s">
        <v>36</v>
      </c>
      <c r="D36" s="53">
        <v>129550.716</v>
      </c>
      <c r="E36" s="47">
        <f>$K$96</f>
        <v>-0.38793301271641789</v>
      </c>
      <c r="F36" s="94">
        <v>-50575.917680526298</v>
      </c>
      <c r="G36" s="40"/>
      <c r="H36" s="162">
        <v>-0.38</v>
      </c>
      <c r="I36" s="40"/>
      <c r="J36" s="36"/>
      <c r="K36" s="37">
        <f t="shared" si="164"/>
        <v>0</v>
      </c>
      <c r="L36" s="38"/>
      <c r="M36" s="39">
        <f t="shared" si="165"/>
        <v>0</v>
      </c>
      <c r="N36" s="38"/>
      <c r="O36" s="39">
        <f t="shared" si="166"/>
        <v>0</v>
      </c>
      <c r="P36" s="38"/>
      <c r="Q36" s="39">
        <f t="shared" si="167"/>
        <v>0</v>
      </c>
      <c r="R36" s="38"/>
      <c r="S36" s="39">
        <f t="shared" si="168"/>
        <v>0</v>
      </c>
      <c r="T36" s="40"/>
      <c r="U36" s="36"/>
      <c r="V36" s="37">
        <f t="shared" si="169"/>
        <v>0</v>
      </c>
      <c r="W36" s="38"/>
      <c r="X36" s="39">
        <f t="shared" si="170"/>
        <v>0</v>
      </c>
      <c r="Y36" s="38"/>
      <c r="Z36" s="39">
        <f t="shared" si="171"/>
        <v>0</v>
      </c>
      <c r="AA36" s="38"/>
      <c r="AB36" s="39">
        <f t="shared" si="172"/>
        <v>0</v>
      </c>
      <c r="AC36" s="38"/>
      <c r="AD36" s="39">
        <f t="shared" si="173"/>
        <v>0</v>
      </c>
      <c r="AE36" s="40"/>
      <c r="AF36" s="36"/>
      <c r="AG36" s="37">
        <f t="shared" si="174"/>
        <v>0</v>
      </c>
      <c r="AH36" s="38"/>
      <c r="AI36" s="39">
        <f t="shared" si="175"/>
        <v>0</v>
      </c>
      <c r="AJ36" s="38"/>
      <c r="AK36" s="39">
        <f t="shared" si="176"/>
        <v>0</v>
      </c>
      <c r="AL36" s="38"/>
      <c r="AM36" s="39">
        <f t="shared" si="177"/>
        <v>0</v>
      </c>
      <c r="AN36" s="38"/>
      <c r="AO36" s="39">
        <f t="shared" si="178"/>
        <v>0</v>
      </c>
      <c r="AP36" s="40"/>
      <c r="AQ36" s="36">
        <v>1</v>
      </c>
      <c r="AR36" s="37">
        <f t="shared" si="179"/>
        <v>-50575.917680526298</v>
      </c>
      <c r="AS36" s="38"/>
      <c r="AT36" s="39">
        <f t="shared" si="180"/>
        <v>0</v>
      </c>
      <c r="AU36" s="38">
        <v>1</v>
      </c>
      <c r="AV36" s="39">
        <f t="shared" si="181"/>
        <v>-50575.917680526298</v>
      </c>
      <c r="AW36" s="38"/>
      <c r="AX36" s="39">
        <f t="shared" si="182"/>
        <v>0</v>
      </c>
      <c r="AY36" s="38"/>
      <c r="AZ36" s="39">
        <f t="shared" si="183"/>
        <v>0</v>
      </c>
      <c r="BA36" s="40"/>
      <c r="BB36" s="36"/>
      <c r="BC36" s="37">
        <f t="shared" si="184"/>
        <v>0</v>
      </c>
      <c r="BD36" s="38"/>
      <c r="BE36" s="39">
        <f t="shared" si="185"/>
        <v>0</v>
      </c>
      <c r="BF36" s="38"/>
      <c r="BG36" s="39">
        <f t="shared" si="186"/>
        <v>0</v>
      </c>
      <c r="BH36" s="38"/>
      <c r="BI36" s="39">
        <f t="shared" si="187"/>
        <v>0</v>
      </c>
      <c r="BJ36" s="38"/>
      <c r="BK36" s="39">
        <f t="shared" si="188"/>
        <v>0</v>
      </c>
      <c r="BL36" s="40"/>
      <c r="BM36" s="36"/>
      <c r="BN36" s="37">
        <f t="shared" si="189"/>
        <v>0</v>
      </c>
      <c r="BO36" s="38"/>
      <c r="BP36" s="39">
        <f t="shared" si="190"/>
        <v>0</v>
      </c>
      <c r="BQ36" s="38"/>
      <c r="BR36" s="39">
        <f t="shared" si="191"/>
        <v>0</v>
      </c>
      <c r="BS36" s="38"/>
      <c r="BT36" s="39">
        <f t="shared" si="192"/>
        <v>0</v>
      </c>
      <c r="BU36" s="38"/>
      <c r="BV36" s="39">
        <f t="shared" si="193"/>
        <v>0</v>
      </c>
      <c r="BW36" s="40"/>
      <c r="BX36" s="36"/>
      <c r="BY36" s="37">
        <f t="shared" si="194"/>
        <v>0</v>
      </c>
      <c r="BZ36" s="38"/>
      <c r="CA36" s="39">
        <f t="shared" si="195"/>
        <v>0</v>
      </c>
      <c r="CB36" s="38"/>
      <c r="CC36" s="39">
        <f t="shared" si="196"/>
        <v>0</v>
      </c>
      <c r="CD36" s="38"/>
      <c r="CE36" s="39">
        <f t="shared" si="197"/>
        <v>0</v>
      </c>
      <c r="CF36" s="38"/>
      <c r="CG36" s="39">
        <f t="shared" si="198"/>
        <v>0</v>
      </c>
      <c r="CH36" s="40"/>
      <c r="CI36" s="36"/>
      <c r="CJ36" s="37">
        <f t="shared" si="199"/>
        <v>0</v>
      </c>
      <c r="CK36" s="38"/>
      <c r="CL36" s="39">
        <f t="shared" si="200"/>
        <v>0</v>
      </c>
      <c r="CM36" s="38"/>
      <c r="CN36" s="39">
        <f t="shared" si="201"/>
        <v>0</v>
      </c>
      <c r="CO36" s="38"/>
      <c r="CP36" s="39">
        <f t="shared" si="202"/>
        <v>0</v>
      </c>
      <c r="CQ36" s="38"/>
      <c r="CR36" s="39">
        <f t="shared" si="203"/>
        <v>0</v>
      </c>
      <c r="CS36" s="41">
        <f t="shared" si="204"/>
        <v>-50575.917680526298</v>
      </c>
      <c r="CT36" s="41">
        <f t="shared" si="205"/>
        <v>-50575.917680526298</v>
      </c>
      <c r="CU36" s="41" t="e">
        <f>M36+O36+Q36+S36+#REF!+X36+Z36+AB36+AD36+#REF!+AI36+AK36+AM36+AO36+#REF!+AT36+AV36+AX36+AZ36+#REF!+BE36+BG36+BI36+BK36+#REF!+BP36+BR36+BT36+BV36+#REF!+CA36+CC36+CE36+CG36+#REF!+CL36+CN36+CP36+CR36+#REF!</f>
        <v>#REF!</v>
      </c>
      <c r="CV36" s="16" t="e">
        <f t="shared" si="206"/>
        <v>#REF!</v>
      </c>
    </row>
    <row r="37" spans="1:100" x14ac:dyDescent="0.25">
      <c r="B37" s="46" t="s">
        <v>37</v>
      </c>
      <c r="C37" s="42" t="s">
        <v>36</v>
      </c>
      <c r="D37" s="53">
        <v>1223534.54</v>
      </c>
      <c r="E37" s="47">
        <f>$K$97</f>
        <v>-0.31414430979039298</v>
      </c>
      <c r="F37" s="94">
        <v>-452933.66309969238</v>
      </c>
      <c r="G37" s="40"/>
      <c r="H37" s="162">
        <v>-0.37</v>
      </c>
      <c r="I37" s="40"/>
      <c r="J37" s="36"/>
      <c r="K37" s="37">
        <f t="shared" si="164"/>
        <v>0</v>
      </c>
      <c r="L37" s="38"/>
      <c r="M37" s="39">
        <f t="shared" si="165"/>
        <v>0</v>
      </c>
      <c r="N37" s="38"/>
      <c r="O37" s="39">
        <f t="shared" si="166"/>
        <v>0</v>
      </c>
      <c r="P37" s="38"/>
      <c r="Q37" s="39">
        <f t="shared" si="167"/>
        <v>0</v>
      </c>
      <c r="R37" s="38"/>
      <c r="S37" s="39">
        <f t="shared" si="168"/>
        <v>0</v>
      </c>
      <c r="T37" s="40"/>
      <c r="U37" s="36"/>
      <c r="V37" s="37">
        <f t="shared" si="169"/>
        <v>0</v>
      </c>
      <c r="W37" s="38"/>
      <c r="X37" s="39">
        <f t="shared" si="170"/>
        <v>0</v>
      </c>
      <c r="Y37" s="38"/>
      <c r="Z37" s="39">
        <f t="shared" si="171"/>
        <v>0</v>
      </c>
      <c r="AA37" s="38"/>
      <c r="AB37" s="39">
        <f t="shared" si="172"/>
        <v>0</v>
      </c>
      <c r="AC37" s="38"/>
      <c r="AD37" s="39">
        <f t="shared" si="173"/>
        <v>0</v>
      </c>
      <c r="AE37" s="40"/>
      <c r="AF37" s="36"/>
      <c r="AG37" s="37">
        <f t="shared" si="174"/>
        <v>0</v>
      </c>
      <c r="AH37" s="38"/>
      <c r="AI37" s="39">
        <f t="shared" si="175"/>
        <v>0</v>
      </c>
      <c r="AJ37" s="38"/>
      <c r="AK37" s="39">
        <f t="shared" si="176"/>
        <v>0</v>
      </c>
      <c r="AL37" s="38"/>
      <c r="AM37" s="39">
        <f t="shared" si="177"/>
        <v>0</v>
      </c>
      <c r="AN37" s="38"/>
      <c r="AO37" s="39">
        <f t="shared" si="178"/>
        <v>0</v>
      </c>
      <c r="AP37" s="40"/>
      <c r="AQ37" s="36">
        <v>0.2</v>
      </c>
      <c r="AR37" s="37">
        <f t="shared" si="179"/>
        <v>-90586.732619938484</v>
      </c>
      <c r="AS37" s="38"/>
      <c r="AT37" s="39">
        <f t="shared" si="180"/>
        <v>0</v>
      </c>
      <c r="AU37" s="38">
        <v>1</v>
      </c>
      <c r="AV37" s="39">
        <f t="shared" si="181"/>
        <v>-90586.732619938484</v>
      </c>
      <c r="AW37" s="38"/>
      <c r="AX37" s="39">
        <f t="shared" si="182"/>
        <v>0</v>
      </c>
      <c r="AY37" s="38"/>
      <c r="AZ37" s="39">
        <f t="shared" si="183"/>
        <v>0</v>
      </c>
      <c r="BA37" s="40"/>
      <c r="BB37" s="36"/>
      <c r="BC37" s="37">
        <f t="shared" si="184"/>
        <v>0</v>
      </c>
      <c r="BD37" s="38"/>
      <c r="BE37" s="39">
        <f t="shared" si="185"/>
        <v>0</v>
      </c>
      <c r="BF37" s="38"/>
      <c r="BG37" s="39">
        <f t="shared" si="186"/>
        <v>0</v>
      </c>
      <c r="BH37" s="38"/>
      <c r="BI37" s="39">
        <f t="shared" si="187"/>
        <v>0</v>
      </c>
      <c r="BJ37" s="38"/>
      <c r="BK37" s="39">
        <f t="shared" si="188"/>
        <v>0</v>
      </c>
      <c r="BL37" s="40"/>
      <c r="BM37" s="36">
        <v>0.8</v>
      </c>
      <c r="BN37" s="37">
        <f t="shared" si="189"/>
        <v>-362346.93047975394</v>
      </c>
      <c r="BO37" s="38"/>
      <c r="BP37" s="39">
        <f t="shared" si="190"/>
        <v>0</v>
      </c>
      <c r="BQ37" s="38">
        <v>1</v>
      </c>
      <c r="BR37" s="39">
        <f t="shared" si="191"/>
        <v>-362346.93047975394</v>
      </c>
      <c r="BS37" s="38"/>
      <c r="BT37" s="39">
        <f t="shared" si="192"/>
        <v>0</v>
      </c>
      <c r="BU37" s="38"/>
      <c r="BV37" s="39">
        <f t="shared" si="193"/>
        <v>0</v>
      </c>
      <c r="BW37" s="40"/>
      <c r="BX37" s="36"/>
      <c r="BY37" s="37">
        <f t="shared" si="194"/>
        <v>0</v>
      </c>
      <c r="BZ37" s="38"/>
      <c r="CA37" s="39">
        <f t="shared" si="195"/>
        <v>0</v>
      </c>
      <c r="CB37" s="38"/>
      <c r="CC37" s="39">
        <f t="shared" si="196"/>
        <v>0</v>
      </c>
      <c r="CD37" s="38"/>
      <c r="CE37" s="39">
        <f t="shared" si="197"/>
        <v>0</v>
      </c>
      <c r="CF37" s="38"/>
      <c r="CG37" s="39">
        <f t="shared" si="198"/>
        <v>0</v>
      </c>
      <c r="CH37" s="40"/>
      <c r="CI37" s="36"/>
      <c r="CJ37" s="37">
        <f t="shared" si="199"/>
        <v>0</v>
      </c>
      <c r="CK37" s="38"/>
      <c r="CL37" s="39">
        <f t="shared" si="200"/>
        <v>0</v>
      </c>
      <c r="CM37" s="38"/>
      <c r="CN37" s="39">
        <f t="shared" si="201"/>
        <v>0</v>
      </c>
      <c r="CO37" s="38"/>
      <c r="CP37" s="39">
        <f t="shared" si="202"/>
        <v>0</v>
      </c>
      <c r="CQ37" s="38"/>
      <c r="CR37" s="39">
        <f t="shared" si="203"/>
        <v>0</v>
      </c>
      <c r="CS37" s="41">
        <f t="shared" si="204"/>
        <v>-452933.66309969238</v>
      </c>
      <c r="CT37" s="41">
        <f t="shared" si="205"/>
        <v>-452933.66309969244</v>
      </c>
      <c r="CU37" s="41" t="e">
        <f>M37+O37+Q37+S37+#REF!+X37+Z37+AB37+AD37+#REF!+AI37+AK37+AM37+AO37+#REF!+AT37+AV37+AX37+AZ37+#REF!+BE37+BG37+BI37+BK37+#REF!+BP37+BR37+BT37+BV37+#REF!+CA37+CC37+CE37+CG37+#REF!+CL37+CN37+CP37+CR37+#REF!</f>
        <v>#REF!</v>
      </c>
      <c r="CV37" s="16" t="e">
        <f t="shared" si="206"/>
        <v>#REF!</v>
      </c>
    </row>
    <row r="38" spans="1:100" x14ac:dyDescent="0.25">
      <c r="B38" s="46" t="s">
        <v>38</v>
      </c>
      <c r="C38" s="42" t="s">
        <v>36</v>
      </c>
      <c r="D38" s="53">
        <v>172734.288</v>
      </c>
      <c r="E38" s="47">
        <f>$K$98</f>
        <v>-0.13699903999999999</v>
      </c>
      <c r="F38" s="94">
        <v>-31772.746099089993</v>
      </c>
      <c r="G38" s="40"/>
      <c r="H38" s="162">
        <v>-0.16</v>
      </c>
      <c r="I38" s="40"/>
      <c r="J38" s="36"/>
      <c r="K38" s="37">
        <f t="shared" si="164"/>
        <v>0</v>
      </c>
      <c r="L38" s="38"/>
      <c r="M38" s="39">
        <f t="shared" si="165"/>
        <v>0</v>
      </c>
      <c r="N38" s="38"/>
      <c r="O38" s="39">
        <f t="shared" si="166"/>
        <v>0</v>
      </c>
      <c r="P38" s="38"/>
      <c r="Q38" s="39">
        <f t="shared" si="167"/>
        <v>0</v>
      </c>
      <c r="R38" s="38"/>
      <c r="S38" s="39">
        <f t="shared" si="168"/>
        <v>0</v>
      </c>
      <c r="T38" s="40"/>
      <c r="U38" s="36"/>
      <c r="V38" s="37">
        <f t="shared" si="169"/>
        <v>0</v>
      </c>
      <c r="W38" s="38"/>
      <c r="X38" s="39">
        <f t="shared" si="170"/>
        <v>0</v>
      </c>
      <c r="Y38" s="38"/>
      <c r="Z38" s="39">
        <f t="shared" si="171"/>
        <v>0</v>
      </c>
      <c r="AA38" s="38"/>
      <c r="AB38" s="39">
        <f t="shared" si="172"/>
        <v>0</v>
      </c>
      <c r="AC38" s="38"/>
      <c r="AD38" s="39">
        <f t="shared" si="173"/>
        <v>0</v>
      </c>
      <c r="AE38" s="40"/>
      <c r="AF38" s="36"/>
      <c r="AG38" s="37">
        <f t="shared" si="174"/>
        <v>0</v>
      </c>
      <c r="AH38" s="38"/>
      <c r="AI38" s="39">
        <f t="shared" si="175"/>
        <v>0</v>
      </c>
      <c r="AJ38" s="38"/>
      <c r="AK38" s="39">
        <f t="shared" si="176"/>
        <v>0</v>
      </c>
      <c r="AL38" s="38"/>
      <c r="AM38" s="39">
        <f t="shared" si="177"/>
        <v>0</v>
      </c>
      <c r="AN38" s="38"/>
      <c r="AO38" s="39">
        <f t="shared" si="178"/>
        <v>0</v>
      </c>
      <c r="AP38" s="40"/>
      <c r="AQ38" s="36">
        <v>1</v>
      </c>
      <c r="AR38" s="37">
        <f t="shared" si="179"/>
        <v>-31772.746099089993</v>
      </c>
      <c r="AS38" s="38"/>
      <c r="AT38" s="39">
        <f t="shared" si="180"/>
        <v>0</v>
      </c>
      <c r="AU38" s="38">
        <v>1</v>
      </c>
      <c r="AV38" s="39">
        <f t="shared" si="181"/>
        <v>-31772.746099089993</v>
      </c>
      <c r="AW38" s="38"/>
      <c r="AX38" s="39">
        <f t="shared" si="182"/>
        <v>0</v>
      </c>
      <c r="AY38" s="38"/>
      <c r="AZ38" s="39">
        <f t="shared" si="183"/>
        <v>0</v>
      </c>
      <c r="BA38" s="40"/>
      <c r="BB38" s="36"/>
      <c r="BC38" s="37">
        <f t="shared" si="184"/>
        <v>0</v>
      </c>
      <c r="BD38" s="38"/>
      <c r="BE38" s="39">
        <f t="shared" si="185"/>
        <v>0</v>
      </c>
      <c r="BF38" s="38"/>
      <c r="BG38" s="39">
        <f t="shared" si="186"/>
        <v>0</v>
      </c>
      <c r="BH38" s="38"/>
      <c r="BI38" s="39">
        <f t="shared" si="187"/>
        <v>0</v>
      </c>
      <c r="BJ38" s="38"/>
      <c r="BK38" s="39">
        <f t="shared" si="188"/>
        <v>0</v>
      </c>
      <c r="BL38" s="40"/>
      <c r="BM38" s="36"/>
      <c r="BN38" s="37">
        <f t="shared" si="189"/>
        <v>0</v>
      </c>
      <c r="BO38" s="38"/>
      <c r="BP38" s="39">
        <f t="shared" si="190"/>
        <v>0</v>
      </c>
      <c r="BQ38" s="38"/>
      <c r="BR38" s="39">
        <f t="shared" si="191"/>
        <v>0</v>
      </c>
      <c r="BS38" s="38"/>
      <c r="BT38" s="39">
        <f t="shared" si="192"/>
        <v>0</v>
      </c>
      <c r="BU38" s="38"/>
      <c r="BV38" s="39">
        <f t="shared" si="193"/>
        <v>0</v>
      </c>
      <c r="BW38" s="40"/>
      <c r="BX38" s="36"/>
      <c r="BY38" s="37">
        <f t="shared" si="194"/>
        <v>0</v>
      </c>
      <c r="BZ38" s="38"/>
      <c r="CA38" s="39">
        <f t="shared" si="195"/>
        <v>0</v>
      </c>
      <c r="CB38" s="38"/>
      <c r="CC38" s="39">
        <f t="shared" si="196"/>
        <v>0</v>
      </c>
      <c r="CD38" s="38"/>
      <c r="CE38" s="39">
        <f t="shared" si="197"/>
        <v>0</v>
      </c>
      <c r="CF38" s="38"/>
      <c r="CG38" s="39">
        <f t="shared" si="198"/>
        <v>0</v>
      </c>
      <c r="CH38" s="40"/>
      <c r="CI38" s="36"/>
      <c r="CJ38" s="37">
        <f t="shared" si="199"/>
        <v>0</v>
      </c>
      <c r="CK38" s="38"/>
      <c r="CL38" s="39">
        <f t="shared" si="200"/>
        <v>0</v>
      </c>
      <c r="CM38" s="38"/>
      <c r="CN38" s="39">
        <f t="shared" si="201"/>
        <v>0</v>
      </c>
      <c r="CO38" s="38"/>
      <c r="CP38" s="39">
        <f t="shared" si="202"/>
        <v>0</v>
      </c>
      <c r="CQ38" s="38"/>
      <c r="CR38" s="39">
        <f t="shared" si="203"/>
        <v>0</v>
      </c>
      <c r="CS38" s="41">
        <f t="shared" si="204"/>
        <v>-31772.746099089993</v>
      </c>
      <c r="CT38" s="41">
        <f t="shared" si="205"/>
        <v>-31772.746099089993</v>
      </c>
      <c r="CU38" s="41" t="e">
        <f>M38+O38+Q38+S38+#REF!+X38+Z38+AB38+AD38+#REF!+AI38+AK38+AM38+AO38+#REF!+AT38+AV38+AX38+AZ38+#REF!+BE38+BG38+BI38+BK38+#REF!+BP38+BR38+BT38+BV38+#REF!+CA38+CC38+CE38+CG38+#REF!+CL38+CN38+CP38+CR38+#REF!</f>
        <v>#REF!</v>
      </c>
      <c r="CV38" s="16" t="e">
        <f t="shared" si="206"/>
        <v>#REF!</v>
      </c>
    </row>
    <row r="39" spans="1:100" x14ac:dyDescent="0.25">
      <c r="B39" s="46" t="s">
        <v>39</v>
      </c>
      <c r="C39" s="42" t="s">
        <v>40</v>
      </c>
      <c r="D39" s="53">
        <v>799.99999999999989</v>
      </c>
      <c r="E39" s="191">
        <f>H39*$K$106</f>
        <v>107.142</v>
      </c>
      <c r="F39" s="94">
        <v>83999.999999999985</v>
      </c>
      <c r="G39" s="40"/>
      <c r="H39" s="162">
        <v>105</v>
      </c>
      <c r="I39" s="40"/>
      <c r="J39" s="36"/>
      <c r="K39" s="37">
        <f t="shared" si="164"/>
        <v>0</v>
      </c>
      <c r="L39" s="38"/>
      <c r="M39" s="39">
        <f t="shared" si="165"/>
        <v>0</v>
      </c>
      <c r="N39" s="38"/>
      <c r="O39" s="39">
        <f t="shared" si="166"/>
        <v>0</v>
      </c>
      <c r="P39" s="38"/>
      <c r="Q39" s="39">
        <f t="shared" si="167"/>
        <v>0</v>
      </c>
      <c r="R39" s="38"/>
      <c r="S39" s="39">
        <f t="shared" si="168"/>
        <v>0</v>
      </c>
      <c r="T39" s="40"/>
      <c r="U39" s="36"/>
      <c r="V39" s="37">
        <f t="shared" si="169"/>
        <v>0</v>
      </c>
      <c r="W39" s="38"/>
      <c r="X39" s="39">
        <f t="shared" si="170"/>
        <v>0</v>
      </c>
      <c r="Y39" s="38"/>
      <c r="Z39" s="39">
        <f t="shared" si="171"/>
        <v>0</v>
      </c>
      <c r="AA39" s="38"/>
      <c r="AB39" s="39">
        <f t="shared" si="172"/>
        <v>0</v>
      </c>
      <c r="AC39" s="38"/>
      <c r="AD39" s="39">
        <f t="shared" si="173"/>
        <v>0</v>
      </c>
      <c r="AE39" s="40"/>
      <c r="AF39" s="36">
        <v>1</v>
      </c>
      <c r="AG39" s="37">
        <f t="shared" si="174"/>
        <v>83999.999999999985</v>
      </c>
      <c r="AH39" s="38"/>
      <c r="AI39" s="39">
        <f t="shared" si="175"/>
        <v>0</v>
      </c>
      <c r="AJ39" s="38">
        <v>1</v>
      </c>
      <c r="AK39" s="39">
        <f t="shared" si="176"/>
        <v>83999.999999999985</v>
      </c>
      <c r="AL39" s="38"/>
      <c r="AM39" s="39">
        <f t="shared" si="177"/>
        <v>0</v>
      </c>
      <c r="AN39" s="38"/>
      <c r="AO39" s="39">
        <f t="shared" si="178"/>
        <v>0</v>
      </c>
      <c r="AP39" s="40"/>
      <c r="AQ39" s="36"/>
      <c r="AR39" s="37">
        <f t="shared" si="179"/>
        <v>0</v>
      </c>
      <c r="AS39" s="38"/>
      <c r="AT39" s="39">
        <f t="shared" si="180"/>
        <v>0</v>
      </c>
      <c r="AU39" s="38"/>
      <c r="AV39" s="39">
        <f t="shared" si="181"/>
        <v>0</v>
      </c>
      <c r="AW39" s="38"/>
      <c r="AX39" s="39">
        <f t="shared" si="182"/>
        <v>0</v>
      </c>
      <c r="AY39" s="38"/>
      <c r="AZ39" s="39">
        <f t="shared" si="183"/>
        <v>0</v>
      </c>
      <c r="BA39" s="40"/>
      <c r="BB39" s="36"/>
      <c r="BC39" s="37">
        <f t="shared" si="184"/>
        <v>0</v>
      </c>
      <c r="BD39" s="38"/>
      <c r="BE39" s="39">
        <f t="shared" si="185"/>
        <v>0</v>
      </c>
      <c r="BF39" s="38"/>
      <c r="BG39" s="39">
        <f t="shared" si="186"/>
        <v>0</v>
      </c>
      <c r="BH39" s="38"/>
      <c r="BI39" s="39">
        <f t="shared" si="187"/>
        <v>0</v>
      </c>
      <c r="BJ39" s="38"/>
      <c r="BK39" s="39">
        <f t="shared" si="188"/>
        <v>0</v>
      </c>
      <c r="BL39" s="40"/>
      <c r="BM39" s="36"/>
      <c r="BN39" s="37">
        <f t="shared" si="189"/>
        <v>0</v>
      </c>
      <c r="BO39" s="38"/>
      <c r="BP39" s="39">
        <f t="shared" si="190"/>
        <v>0</v>
      </c>
      <c r="BQ39" s="38"/>
      <c r="BR39" s="39">
        <f t="shared" si="191"/>
        <v>0</v>
      </c>
      <c r="BS39" s="38"/>
      <c r="BT39" s="39">
        <f t="shared" si="192"/>
        <v>0</v>
      </c>
      <c r="BU39" s="38"/>
      <c r="BV39" s="39">
        <f t="shared" si="193"/>
        <v>0</v>
      </c>
      <c r="BW39" s="40"/>
      <c r="BX39" s="36"/>
      <c r="BY39" s="37">
        <f t="shared" si="194"/>
        <v>0</v>
      </c>
      <c r="BZ39" s="38"/>
      <c r="CA39" s="39">
        <f t="shared" si="195"/>
        <v>0</v>
      </c>
      <c r="CB39" s="38"/>
      <c r="CC39" s="39">
        <f t="shared" si="196"/>
        <v>0</v>
      </c>
      <c r="CD39" s="38"/>
      <c r="CE39" s="39">
        <f t="shared" si="197"/>
        <v>0</v>
      </c>
      <c r="CF39" s="38"/>
      <c r="CG39" s="39">
        <f t="shared" si="198"/>
        <v>0</v>
      </c>
      <c r="CH39" s="40"/>
      <c r="CI39" s="36"/>
      <c r="CJ39" s="37">
        <f t="shared" si="199"/>
        <v>0</v>
      </c>
      <c r="CK39" s="38"/>
      <c r="CL39" s="39">
        <f t="shared" si="200"/>
        <v>0</v>
      </c>
      <c r="CM39" s="38"/>
      <c r="CN39" s="39">
        <f t="shared" si="201"/>
        <v>0</v>
      </c>
      <c r="CO39" s="38"/>
      <c r="CP39" s="39">
        <f t="shared" si="202"/>
        <v>0</v>
      </c>
      <c r="CQ39" s="38"/>
      <c r="CR39" s="39">
        <f t="shared" si="203"/>
        <v>0</v>
      </c>
      <c r="CS39" s="41">
        <f t="shared" si="204"/>
        <v>83999.999999999985</v>
      </c>
      <c r="CT39" s="41">
        <f t="shared" si="205"/>
        <v>83999.999999999985</v>
      </c>
      <c r="CU39" s="41" t="e">
        <f>M39+O39+Q39+S39+#REF!+X39+Z39+AB39+AD39+#REF!+AI39+AK39+AM39+AO39+#REF!+AT39+AV39+AX39+AZ39+#REF!+BE39+BG39+BI39+BK39+#REF!+BP39+BR39+BT39+BV39+#REF!+CA39+CC39+CE39+CG39+#REF!+CL39+CN39+CP39+CR39+#REF!</f>
        <v>#REF!</v>
      </c>
      <c r="CV39" s="16" t="e">
        <f t="shared" si="206"/>
        <v>#REF!</v>
      </c>
    </row>
    <row r="40" spans="1:100" x14ac:dyDescent="0.25">
      <c r="B40" s="130" t="s">
        <v>192</v>
      </c>
      <c r="C40" s="42" t="s">
        <v>36</v>
      </c>
      <c r="D40" s="53">
        <v>180000</v>
      </c>
      <c r="E40" s="47">
        <f>$K$103</f>
        <v>-1.5206066633165829</v>
      </c>
      <c r="F40" s="94">
        <v>-284850</v>
      </c>
      <c r="G40" s="40"/>
      <c r="H40" s="162">
        <v>-1.52</v>
      </c>
      <c r="I40" s="40"/>
      <c r="J40" s="36"/>
      <c r="K40" s="37">
        <f t="shared" si="164"/>
        <v>0</v>
      </c>
      <c r="L40" s="38"/>
      <c r="M40" s="39">
        <f t="shared" si="165"/>
        <v>0</v>
      </c>
      <c r="N40" s="38"/>
      <c r="O40" s="39">
        <f t="shared" si="166"/>
        <v>0</v>
      </c>
      <c r="P40" s="38"/>
      <c r="Q40" s="39">
        <f t="shared" si="167"/>
        <v>0</v>
      </c>
      <c r="R40" s="38"/>
      <c r="S40" s="39">
        <f t="shared" si="168"/>
        <v>0</v>
      </c>
      <c r="T40" s="40"/>
      <c r="U40" s="36"/>
      <c r="V40" s="37">
        <f t="shared" si="169"/>
        <v>0</v>
      </c>
      <c r="W40" s="38"/>
      <c r="X40" s="39">
        <f t="shared" si="170"/>
        <v>0</v>
      </c>
      <c r="Y40" s="38"/>
      <c r="Z40" s="39">
        <f t="shared" si="171"/>
        <v>0</v>
      </c>
      <c r="AA40" s="38"/>
      <c r="AB40" s="39">
        <f t="shared" si="172"/>
        <v>0</v>
      </c>
      <c r="AC40" s="38"/>
      <c r="AD40" s="39">
        <f t="shared" si="173"/>
        <v>0</v>
      </c>
      <c r="AE40" s="40"/>
      <c r="AF40" s="36"/>
      <c r="AG40" s="37">
        <f t="shared" si="174"/>
        <v>0</v>
      </c>
      <c r="AH40" s="38"/>
      <c r="AI40" s="39">
        <f t="shared" si="175"/>
        <v>0</v>
      </c>
      <c r="AJ40" s="38"/>
      <c r="AK40" s="39">
        <f t="shared" si="176"/>
        <v>0</v>
      </c>
      <c r="AL40" s="38"/>
      <c r="AM40" s="39">
        <f t="shared" si="177"/>
        <v>0</v>
      </c>
      <c r="AN40" s="38"/>
      <c r="AO40" s="39">
        <f t="shared" si="178"/>
        <v>0</v>
      </c>
      <c r="AP40" s="40"/>
      <c r="AQ40" s="36">
        <v>0.1</v>
      </c>
      <c r="AR40" s="37">
        <f t="shared" si="179"/>
        <v>-28485</v>
      </c>
      <c r="AS40" s="38"/>
      <c r="AT40" s="39">
        <f t="shared" si="180"/>
        <v>0</v>
      </c>
      <c r="AU40" s="38">
        <v>1</v>
      </c>
      <c r="AV40" s="39">
        <f t="shared" si="181"/>
        <v>-28485</v>
      </c>
      <c r="AW40" s="38"/>
      <c r="AX40" s="39">
        <f t="shared" si="182"/>
        <v>0</v>
      </c>
      <c r="AY40" s="38"/>
      <c r="AZ40" s="39">
        <f t="shared" si="183"/>
        <v>0</v>
      </c>
      <c r="BA40" s="40"/>
      <c r="BB40" s="36">
        <v>0.9</v>
      </c>
      <c r="BC40" s="37">
        <f t="shared" si="184"/>
        <v>-256365</v>
      </c>
      <c r="BD40" s="38"/>
      <c r="BE40" s="39">
        <f t="shared" si="185"/>
        <v>0</v>
      </c>
      <c r="BF40" s="38">
        <v>1</v>
      </c>
      <c r="BG40" s="39">
        <f t="shared" si="186"/>
        <v>-256365</v>
      </c>
      <c r="BH40" s="38"/>
      <c r="BI40" s="39">
        <f t="shared" si="187"/>
        <v>0</v>
      </c>
      <c r="BJ40" s="38"/>
      <c r="BK40" s="39">
        <f t="shared" si="188"/>
        <v>0</v>
      </c>
      <c r="BL40" s="40"/>
      <c r="BM40" s="36"/>
      <c r="BN40" s="37">
        <f t="shared" si="189"/>
        <v>0</v>
      </c>
      <c r="BO40" s="38"/>
      <c r="BP40" s="39">
        <f t="shared" si="190"/>
        <v>0</v>
      </c>
      <c r="BQ40" s="38"/>
      <c r="BR40" s="39">
        <f t="shared" si="191"/>
        <v>0</v>
      </c>
      <c r="BS40" s="38"/>
      <c r="BT40" s="39">
        <f t="shared" si="192"/>
        <v>0</v>
      </c>
      <c r="BU40" s="38"/>
      <c r="BV40" s="39">
        <f t="shared" si="193"/>
        <v>0</v>
      </c>
      <c r="BW40" s="40"/>
      <c r="BX40" s="36"/>
      <c r="BY40" s="37">
        <f t="shared" si="194"/>
        <v>0</v>
      </c>
      <c r="BZ40" s="38"/>
      <c r="CA40" s="39">
        <f t="shared" si="195"/>
        <v>0</v>
      </c>
      <c r="CB40" s="38"/>
      <c r="CC40" s="39">
        <f t="shared" si="196"/>
        <v>0</v>
      </c>
      <c r="CD40" s="38"/>
      <c r="CE40" s="39">
        <f t="shared" si="197"/>
        <v>0</v>
      </c>
      <c r="CF40" s="38"/>
      <c r="CG40" s="39">
        <f t="shared" si="198"/>
        <v>0</v>
      </c>
      <c r="CH40" s="40"/>
      <c r="CI40" s="36"/>
      <c r="CJ40" s="37">
        <f t="shared" si="199"/>
        <v>0</v>
      </c>
      <c r="CK40" s="38"/>
      <c r="CL40" s="39">
        <f t="shared" si="200"/>
        <v>0</v>
      </c>
      <c r="CM40" s="38"/>
      <c r="CN40" s="39">
        <f t="shared" si="201"/>
        <v>0</v>
      </c>
      <c r="CO40" s="38"/>
      <c r="CP40" s="39">
        <f t="shared" si="202"/>
        <v>0</v>
      </c>
      <c r="CQ40" s="38"/>
      <c r="CR40" s="39">
        <f t="shared" si="203"/>
        <v>0</v>
      </c>
      <c r="CS40" s="41">
        <f t="shared" si="204"/>
        <v>-284850</v>
      </c>
      <c r="CT40" s="41">
        <f t="shared" si="205"/>
        <v>-284850</v>
      </c>
      <c r="CU40" s="41" t="e">
        <f>M40+O40+Q40+S40+#REF!+X40+Z40+AB40+AD40+#REF!+AI40+AK40+AM40+AO40+#REF!+AT40+AV40+AX40+AZ40+#REF!+BE40+BG40+BI40+BK40+#REF!+BP40+BR40+BT40+BV40+#REF!+CA40+CC40+CE40+CG40+#REF!+CL40+CN40+CP40+CR40+#REF!</f>
        <v>#REF!</v>
      </c>
      <c r="CV40" s="16" t="e">
        <f t="shared" si="206"/>
        <v>#REF!</v>
      </c>
    </row>
    <row r="41" spans="1:100" x14ac:dyDescent="0.25">
      <c r="A41" s="2"/>
      <c r="B41" s="51" t="s">
        <v>41</v>
      </c>
      <c r="C41" s="42" t="s">
        <v>33</v>
      </c>
      <c r="D41" s="53">
        <v>323.87678999999997</v>
      </c>
      <c r="E41" s="191">
        <f>H41*$K$106</f>
        <v>66.325999999999993</v>
      </c>
      <c r="F41" s="94">
        <v>21051.991349999997</v>
      </c>
      <c r="G41" s="40"/>
      <c r="H41" s="162">
        <v>65</v>
      </c>
      <c r="I41" s="40"/>
      <c r="J41" s="36"/>
      <c r="K41" s="37">
        <f t="shared" si="164"/>
        <v>0</v>
      </c>
      <c r="L41" s="38"/>
      <c r="M41" s="39">
        <f t="shared" si="165"/>
        <v>0</v>
      </c>
      <c r="N41" s="38"/>
      <c r="O41" s="39">
        <f t="shared" si="166"/>
        <v>0</v>
      </c>
      <c r="P41" s="38"/>
      <c r="Q41" s="39">
        <f t="shared" si="167"/>
        <v>0</v>
      </c>
      <c r="R41" s="38"/>
      <c r="S41" s="39">
        <f t="shared" si="168"/>
        <v>0</v>
      </c>
      <c r="T41" s="40"/>
      <c r="U41" s="36">
        <v>0.14285714285714288</v>
      </c>
      <c r="V41" s="37">
        <f t="shared" si="169"/>
        <v>3007.4273357142856</v>
      </c>
      <c r="W41" s="38"/>
      <c r="X41" s="39">
        <f t="shared" si="170"/>
        <v>0</v>
      </c>
      <c r="Y41" s="38">
        <v>1</v>
      </c>
      <c r="Z41" s="39">
        <f t="shared" si="171"/>
        <v>3007.4273357142856</v>
      </c>
      <c r="AA41" s="38"/>
      <c r="AB41" s="39">
        <f t="shared" si="172"/>
        <v>0</v>
      </c>
      <c r="AC41" s="38"/>
      <c r="AD41" s="39">
        <f t="shared" si="173"/>
        <v>0</v>
      </c>
      <c r="AE41" s="40"/>
      <c r="AF41" s="36">
        <v>0.14285714285714288</v>
      </c>
      <c r="AG41" s="37">
        <f t="shared" si="174"/>
        <v>3007.4273357142856</v>
      </c>
      <c r="AH41" s="38"/>
      <c r="AI41" s="39">
        <f t="shared" si="175"/>
        <v>0</v>
      </c>
      <c r="AJ41" s="38">
        <v>1</v>
      </c>
      <c r="AK41" s="39">
        <f t="shared" si="176"/>
        <v>3007.4273357142856</v>
      </c>
      <c r="AL41" s="38"/>
      <c r="AM41" s="39">
        <f t="shared" si="177"/>
        <v>0</v>
      </c>
      <c r="AN41" s="38"/>
      <c r="AO41" s="39">
        <f t="shared" si="178"/>
        <v>0</v>
      </c>
      <c r="AP41" s="40"/>
      <c r="AQ41" s="36">
        <v>0.14285714285714288</v>
      </c>
      <c r="AR41" s="37">
        <f t="shared" si="179"/>
        <v>3007.4273357142856</v>
      </c>
      <c r="AS41" s="38"/>
      <c r="AT41" s="39">
        <f t="shared" si="180"/>
        <v>0</v>
      </c>
      <c r="AU41" s="38">
        <v>1</v>
      </c>
      <c r="AV41" s="39">
        <f t="shared" si="181"/>
        <v>3007.4273357142856</v>
      </c>
      <c r="AW41" s="38"/>
      <c r="AX41" s="39">
        <f t="shared" si="182"/>
        <v>0</v>
      </c>
      <c r="AY41" s="38"/>
      <c r="AZ41" s="39">
        <f t="shared" si="183"/>
        <v>0</v>
      </c>
      <c r="BA41" s="40"/>
      <c r="BB41" s="36">
        <v>0.14285714285714288</v>
      </c>
      <c r="BC41" s="37">
        <f t="shared" si="184"/>
        <v>3007.4273357142856</v>
      </c>
      <c r="BD41" s="38"/>
      <c r="BE41" s="39">
        <f t="shared" si="185"/>
        <v>0</v>
      </c>
      <c r="BF41" s="38">
        <v>1</v>
      </c>
      <c r="BG41" s="39">
        <f t="shared" si="186"/>
        <v>3007.4273357142856</v>
      </c>
      <c r="BH41" s="38"/>
      <c r="BI41" s="39">
        <f t="shared" si="187"/>
        <v>0</v>
      </c>
      <c r="BJ41" s="38"/>
      <c r="BK41" s="39">
        <f t="shared" si="188"/>
        <v>0</v>
      </c>
      <c r="BL41" s="40"/>
      <c r="BM41" s="36">
        <v>0.14285714285714288</v>
      </c>
      <c r="BN41" s="37">
        <f t="shared" si="189"/>
        <v>3007.4273357142856</v>
      </c>
      <c r="BO41" s="38"/>
      <c r="BP41" s="39">
        <f t="shared" si="190"/>
        <v>0</v>
      </c>
      <c r="BQ41" s="38">
        <v>1</v>
      </c>
      <c r="BR41" s="39">
        <f t="shared" si="191"/>
        <v>3007.4273357142856</v>
      </c>
      <c r="BS41" s="38"/>
      <c r="BT41" s="39">
        <f t="shared" si="192"/>
        <v>0</v>
      </c>
      <c r="BU41" s="38"/>
      <c r="BV41" s="39">
        <f t="shared" si="193"/>
        <v>0</v>
      </c>
      <c r="BW41" s="40"/>
      <c r="BX41" s="36">
        <v>0.14285714285714288</v>
      </c>
      <c r="BY41" s="37">
        <f t="shared" si="194"/>
        <v>3007.4273357142856</v>
      </c>
      <c r="BZ41" s="38"/>
      <c r="CA41" s="39">
        <f t="shared" si="195"/>
        <v>0</v>
      </c>
      <c r="CB41" s="38">
        <v>1</v>
      </c>
      <c r="CC41" s="39">
        <f t="shared" si="196"/>
        <v>3007.4273357142856</v>
      </c>
      <c r="CD41" s="38"/>
      <c r="CE41" s="39">
        <f t="shared" si="197"/>
        <v>0</v>
      </c>
      <c r="CF41" s="38"/>
      <c r="CG41" s="39">
        <f t="shared" si="198"/>
        <v>0</v>
      </c>
      <c r="CH41" s="40"/>
      <c r="CI41" s="36">
        <v>0.14285714285714288</v>
      </c>
      <c r="CJ41" s="37">
        <f t="shared" si="199"/>
        <v>3007.4273357142856</v>
      </c>
      <c r="CK41" s="38"/>
      <c r="CL41" s="39">
        <f t="shared" si="200"/>
        <v>0</v>
      </c>
      <c r="CM41" s="38">
        <v>1</v>
      </c>
      <c r="CN41" s="39">
        <f t="shared" si="201"/>
        <v>3007.4273357142856</v>
      </c>
      <c r="CO41" s="38"/>
      <c r="CP41" s="39">
        <f t="shared" si="202"/>
        <v>0</v>
      </c>
      <c r="CQ41" s="38"/>
      <c r="CR41" s="39">
        <f t="shared" si="203"/>
        <v>0</v>
      </c>
      <c r="CS41" s="41">
        <f t="shared" si="204"/>
        <v>21051.991349999997</v>
      </c>
      <c r="CT41" s="41">
        <f t="shared" si="205"/>
        <v>21051.991349999997</v>
      </c>
      <c r="CU41" s="41" t="e">
        <f>M41+O41+Q41+S41+#REF!+X41+Z41+AB41+AD41+#REF!+AI41+AK41+AM41+AO41+#REF!+AT41+AV41+AX41+AZ41+#REF!+BE41+BG41+BI41+BK41+#REF!+BP41+BR41+BT41+BV41+#REF!+CA41+CC41+CE41+CG41+#REF!+CL41+CN41+CP41+CR41+#REF!</f>
        <v>#REF!</v>
      </c>
      <c r="CV41" s="16" t="e">
        <f t="shared" si="206"/>
        <v>#REF!</v>
      </c>
    </row>
    <row r="42" spans="1:100" x14ac:dyDescent="0.25">
      <c r="B42" s="48" t="s">
        <v>43</v>
      </c>
      <c r="C42" s="42" t="s">
        <v>33</v>
      </c>
      <c r="D42" s="53">
        <v>15000</v>
      </c>
      <c r="E42" s="191">
        <f>H42*$K$106</f>
        <v>15.305999999999999</v>
      </c>
      <c r="F42" s="94">
        <v>225000</v>
      </c>
      <c r="G42" s="40"/>
      <c r="H42" s="162">
        <v>15</v>
      </c>
      <c r="I42" s="40"/>
      <c r="J42" s="36"/>
      <c r="K42" s="37">
        <f t="shared" si="164"/>
        <v>0</v>
      </c>
      <c r="L42" s="38"/>
      <c r="M42" s="39">
        <f t="shared" si="165"/>
        <v>0</v>
      </c>
      <c r="N42" s="38"/>
      <c r="O42" s="39">
        <f t="shared" si="166"/>
        <v>0</v>
      </c>
      <c r="P42" s="38"/>
      <c r="Q42" s="39">
        <f t="shared" si="167"/>
        <v>0</v>
      </c>
      <c r="R42" s="38"/>
      <c r="S42" s="39">
        <f t="shared" si="168"/>
        <v>0</v>
      </c>
      <c r="T42" s="40"/>
      <c r="U42" s="36">
        <v>1</v>
      </c>
      <c r="V42" s="37">
        <f t="shared" si="169"/>
        <v>225000</v>
      </c>
      <c r="W42" s="38"/>
      <c r="X42" s="39">
        <f t="shared" si="170"/>
        <v>0</v>
      </c>
      <c r="Y42" s="38">
        <v>1</v>
      </c>
      <c r="Z42" s="39">
        <f t="shared" si="171"/>
        <v>225000</v>
      </c>
      <c r="AA42" s="38"/>
      <c r="AB42" s="39">
        <f t="shared" si="172"/>
        <v>0</v>
      </c>
      <c r="AC42" s="38"/>
      <c r="AD42" s="39">
        <f t="shared" si="173"/>
        <v>0</v>
      </c>
      <c r="AE42" s="40"/>
      <c r="AF42" s="36"/>
      <c r="AG42" s="37">
        <f t="shared" si="174"/>
        <v>0</v>
      </c>
      <c r="AH42" s="38"/>
      <c r="AI42" s="39">
        <f t="shared" si="175"/>
        <v>0</v>
      </c>
      <c r="AJ42" s="38"/>
      <c r="AK42" s="39">
        <f t="shared" si="176"/>
        <v>0</v>
      </c>
      <c r="AL42" s="38"/>
      <c r="AM42" s="39">
        <f t="shared" si="177"/>
        <v>0</v>
      </c>
      <c r="AN42" s="38"/>
      <c r="AO42" s="39">
        <f t="shared" si="178"/>
        <v>0</v>
      </c>
      <c r="AP42" s="40"/>
      <c r="AQ42" s="36"/>
      <c r="AR42" s="37">
        <f t="shared" si="179"/>
        <v>0</v>
      </c>
      <c r="AS42" s="38"/>
      <c r="AT42" s="39">
        <f t="shared" si="180"/>
        <v>0</v>
      </c>
      <c r="AU42" s="38"/>
      <c r="AV42" s="39">
        <f t="shared" si="181"/>
        <v>0</v>
      </c>
      <c r="AW42" s="38"/>
      <c r="AX42" s="39">
        <f t="shared" si="182"/>
        <v>0</v>
      </c>
      <c r="AY42" s="38"/>
      <c r="AZ42" s="39">
        <f t="shared" si="183"/>
        <v>0</v>
      </c>
      <c r="BA42" s="40"/>
      <c r="BB42" s="36"/>
      <c r="BC42" s="37">
        <f t="shared" si="184"/>
        <v>0</v>
      </c>
      <c r="BD42" s="38"/>
      <c r="BE42" s="39">
        <f t="shared" si="185"/>
        <v>0</v>
      </c>
      <c r="BF42" s="38"/>
      <c r="BG42" s="39">
        <f t="shared" si="186"/>
        <v>0</v>
      </c>
      <c r="BH42" s="38"/>
      <c r="BI42" s="39">
        <f t="shared" si="187"/>
        <v>0</v>
      </c>
      <c r="BJ42" s="38"/>
      <c r="BK42" s="39">
        <f t="shared" si="188"/>
        <v>0</v>
      </c>
      <c r="BL42" s="40"/>
      <c r="BM42" s="36"/>
      <c r="BN42" s="37">
        <f t="shared" si="189"/>
        <v>0</v>
      </c>
      <c r="BO42" s="38"/>
      <c r="BP42" s="39">
        <f t="shared" si="190"/>
        <v>0</v>
      </c>
      <c r="BQ42" s="38"/>
      <c r="BR42" s="39">
        <f t="shared" si="191"/>
        <v>0</v>
      </c>
      <c r="BS42" s="38"/>
      <c r="BT42" s="39">
        <f t="shared" si="192"/>
        <v>0</v>
      </c>
      <c r="BU42" s="38"/>
      <c r="BV42" s="39">
        <f t="shared" si="193"/>
        <v>0</v>
      </c>
      <c r="BW42" s="40"/>
      <c r="BX42" s="36"/>
      <c r="BY42" s="37">
        <f t="shared" si="194"/>
        <v>0</v>
      </c>
      <c r="BZ42" s="38"/>
      <c r="CA42" s="39">
        <f t="shared" si="195"/>
        <v>0</v>
      </c>
      <c r="CB42" s="38"/>
      <c r="CC42" s="39">
        <f t="shared" si="196"/>
        <v>0</v>
      </c>
      <c r="CD42" s="38"/>
      <c r="CE42" s="39">
        <f t="shared" si="197"/>
        <v>0</v>
      </c>
      <c r="CF42" s="38"/>
      <c r="CG42" s="39">
        <f t="shared" si="198"/>
        <v>0</v>
      </c>
      <c r="CH42" s="40"/>
      <c r="CI42" s="36"/>
      <c r="CJ42" s="37">
        <f t="shared" si="199"/>
        <v>0</v>
      </c>
      <c r="CK42" s="38"/>
      <c r="CL42" s="39">
        <f t="shared" si="200"/>
        <v>0</v>
      </c>
      <c r="CM42" s="38"/>
      <c r="CN42" s="39">
        <f t="shared" si="201"/>
        <v>0</v>
      </c>
      <c r="CO42" s="38"/>
      <c r="CP42" s="39">
        <f t="shared" si="202"/>
        <v>0</v>
      </c>
      <c r="CQ42" s="38"/>
      <c r="CR42" s="39">
        <f t="shared" si="203"/>
        <v>0</v>
      </c>
      <c r="CS42" s="41">
        <f t="shared" si="204"/>
        <v>225000</v>
      </c>
      <c r="CT42" s="41">
        <f t="shared" si="205"/>
        <v>225000</v>
      </c>
      <c r="CU42" s="41" t="e">
        <f>M42+O42+Q42+S42+#REF!+X42+Z42+AB42+AD42+#REF!+AI42+AK42+AM42+AO42+#REF!+AT42+AV42+AX42+AZ42+#REF!+BE42+BG42+BI42+BK42+#REF!+BP42+BR42+BT42+BV42+#REF!+CA42+CC42+CE42+CG42+#REF!+CL42+CN42+CP42+CR42+#REF!</f>
        <v>#REF!</v>
      </c>
      <c r="CV42" s="16" t="e">
        <f t="shared" si="206"/>
        <v>#REF!</v>
      </c>
    </row>
    <row r="43" spans="1:100" x14ac:dyDescent="0.25">
      <c r="B43" s="99" t="s">
        <v>144</v>
      </c>
      <c r="C43" s="100" t="s">
        <v>33</v>
      </c>
      <c r="D43" s="101">
        <v>120</v>
      </c>
      <c r="E43" s="191">
        <f>H43*$K$106</f>
        <v>244.89599999999999</v>
      </c>
      <c r="F43" s="94">
        <f>D43*E43</f>
        <v>29387.519999999997</v>
      </c>
      <c r="G43" s="40"/>
      <c r="H43" s="162">
        <v>240</v>
      </c>
      <c r="I43" s="40"/>
      <c r="J43" s="36"/>
      <c r="K43" s="37"/>
      <c r="L43" s="38"/>
      <c r="M43" s="39"/>
      <c r="N43" s="38"/>
      <c r="O43" s="39"/>
      <c r="P43" s="38"/>
      <c r="Q43" s="39"/>
      <c r="R43" s="38"/>
      <c r="S43" s="39"/>
      <c r="T43" s="40"/>
      <c r="U43" s="36"/>
      <c r="V43" s="37"/>
      <c r="W43" s="38"/>
      <c r="X43" s="39"/>
      <c r="Y43" s="38"/>
      <c r="Z43" s="39"/>
      <c r="AA43" s="38"/>
      <c r="AB43" s="39"/>
      <c r="AC43" s="38"/>
      <c r="AD43" s="39"/>
      <c r="AE43" s="40"/>
      <c r="AF43" s="36"/>
      <c r="AG43" s="37"/>
      <c r="AH43" s="38"/>
      <c r="AI43" s="39"/>
      <c r="AJ43" s="38"/>
      <c r="AK43" s="39"/>
      <c r="AL43" s="38"/>
      <c r="AM43" s="39"/>
      <c r="AN43" s="38"/>
      <c r="AO43" s="39"/>
      <c r="AP43" s="40"/>
      <c r="AQ43" s="36"/>
      <c r="AR43" s="37"/>
      <c r="AS43" s="38"/>
      <c r="AT43" s="39"/>
      <c r="AU43" s="38"/>
      <c r="AV43" s="39"/>
      <c r="AW43" s="38"/>
      <c r="AX43" s="39"/>
      <c r="AY43" s="38"/>
      <c r="AZ43" s="39"/>
      <c r="BA43" s="40"/>
      <c r="BB43" s="36"/>
      <c r="BC43" s="37"/>
      <c r="BD43" s="38"/>
      <c r="BE43" s="39"/>
      <c r="BF43" s="38"/>
      <c r="BG43" s="39"/>
      <c r="BH43" s="38"/>
      <c r="BI43" s="39"/>
      <c r="BJ43" s="38"/>
      <c r="BK43" s="39"/>
      <c r="BL43" s="40"/>
      <c r="BM43" s="36"/>
      <c r="BN43" s="37"/>
      <c r="BO43" s="38"/>
      <c r="BP43" s="39"/>
      <c r="BQ43" s="38"/>
      <c r="BR43" s="39"/>
      <c r="BS43" s="38"/>
      <c r="BT43" s="39"/>
      <c r="BU43" s="38"/>
      <c r="BV43" s="39"/>
      <c r="BW43" s="40"/>
      <c r="BX43" s="36"/>
      <c r="BY43" s="37"/>
      <c r="BZ43" s="38"/>
      <c r="CA43" s="39"/>
      <c r="CB43" s="38"/>
      <c r="CC43" s="39"/>
      <c r="CD43" s="38"/>
      <c r="CE43" s="39"/>
      <c r="CF43" s="38"/>
      <c r="CG43" s="39"/>
      <c r="CH43" s="40"/>
      <c r="CI43" s="36"/>
      <c r="CJ43" s="37"/>
      <c r="CK43" s="38"/>
      <c r="CL43" s="39"/>
      <c r="CM43" s="38"/>
      <c r="CN43" s="39"/>
      <c r="CO43" s="38"/>
      <c r="CP43" s="39"/>
      <c r="CQ43" s="38"/>
      <c r="CR43" s="39"/>
      <c r="CS43" s="41"/>
      <c r="CT43" s="41"/>
      <c r="CU43" s="41"/>
      <c r="CV43" s="16"/>
    </row>
    <row r="44" spans="1:100" x14ac:dyDescent="0.25">
      <c r="B44" s="99" t="s">
        <v>163</v>
      </c>
      <c r="C44" s="100" t="s">
        <v>36</v>
      </c>
      <c r="D44" s="101">
        <f>F44/E44</f>
        <v>176091.53539360259</v>
      </c>
      <c r="E44" s="47">
        <f>$K$97</f>
        <v>-0.31414430979039298</v>
      </c>
      <c r="F44" s="94">
        <v>-55318.153846153844</v>
      </c>
      <c r="G44" s="40"/>
      <c r="H44" s="162">
        <v>-0.37</v>
      </c>
      <c r="I44" s="40"/>
      <c r="J44" s="36"/>
      <c r="K44" s="37">
        <f t="shared" ref="K44" si="207">J44*$F44</f>
        <v>0</v>
      </c>
      <c r="L44" s="38"/>
      <c r="M44" s="39">
        <f t="shared" ref="M44" si="208">L44*K44</f>
        <v>0</v>
      </c>
      <c r="N44" s="38"/>
      <c r="O44" s="39">
        <f t="shared" ref="O44" si="209">N44*K44</f>
        <v>0</v>
      </c>
      <c r="P44" s="38"/>
      <c r="Q44" s="39">
        <f t="shared" ref="Q44" si="210">P44*K44</f>
        <v>0</v>
      </c>
      <c r="R44" s="38"/>
      <c r="S44" s="39">
        <f t="shared" ref="S44" si="211">R44*K44</f>
        <v>0</v>
      </c>
      <c r="T44" s="40"/>
      <c r="U44" s="36"/>
      <c r="V44" s="37">
        <f t="shared" ref="V44" si="212">U44*$F44</f>
        <v>0</v>
      </c>
      <c r="W44" s="38"/>
      <c r="X44" s="39">
        <f t="shared" ref="X44" si="213">W44*V44</f>
        <v>0</v>
      </c>
      <c r="Y44" s="38"/>
      <c r="Z44" s="39">
        <f t="shared" ref="Z44" si="214">Y44*V44</f>
        <v>0</v>
      </c>
      <c r="AA44" s="38"/>
      <c r="AB44" s="39">
        <f t="shared" ref="AB44" si="215">AA44*V44</f>
        <v>0</v>
      </c>
      <c r="AC44" s="38"/>
      <c r="AD44" s="39">
        <f t="shared" ref="AD44" si="216">AC44*V44</f>
        <v>0</v>
      </c>
      <c r="AE44" s="40"/>
      <c r="AF44" s="36"/>
      <c r="AG44" s="37">
        <f t="shared" ref="AG44" si="217">AF44*$F44</f>
        <v>0</v>
      </c>
      <c r="AH44" s="38"/>
      <c r="AI44" s="39">
        <f t="shared" ref="AI44" si="218">AH44*AG44</f>
        <v>0</v>
      </c>
      <c r="AJ44" s="38"/>
      <c r="AK44" s="39">
        <f t="shared" ref="AK44" si="219">AJ44*AG44</f>
        <v>0</v>
      </c>
      <c r="AL44" s="38"/>
      <c r="AM44" s="39">
        <f t="shared" ref="AM44" si="220">AL44*AG44</f>
        <v>0</v>
      </c>
      <c r="AN44" s="38"/>
      <c r="AO44" s="39">
        <f t="shared" ref="AO44" si="221">AN44*AG44</f>
        <v>0</v>
      </c>
      <c r="AP44" s="40"/>
      <c r="AQ44" s="36"/>
      <c r="AR44" s="37">
        <f t="shared" ref="AR44" si="222">AQ44*$F44</f>
        <v>0</v>
      </c>
      <c r="AS44" s="38"/>
      <c r="AT44" s="39">
        <f t="shared" ref="AT44" si="223">AS44*AR44</f>
        <v>0</v>
      </c>
      <c r="AU44" s="38"/>
      <c r="AV44" s="39">
        <f t="shared" ref="AV44" si="224">AU44*AR44</f>
        <v>0</v>
      </c>
      <c r="AW44" s="38"/>
      <c r="AX44" s="39">
        <f t="shared" ref="AX44" si="225">AW44*AR44</f>
        <v>0</v>
      </c>
      <c r="AY44" s="38"/>
      <c r="AZ44" s="39">
        <f t="shared" ref="AZ44" si="226">AY44*AR44</f>
        <v>0</v>
      </c>
      <c r="BA44" s="40"/>
      <c r="BB44" s="36"/>
      <c r="BC44" s="37">
        <f t="shared" ref="BC44" si="227">BB44*$F44</f>
        <v>0</v>
      </c>
      <c r="BD44" s="38"/>
      <c r="BE44" s="39">
        <f t="shared" ref="BE44" si="228">BD44*BC44</f>
        <v>0</v>
      </c>
      <c r="BF44" s="38"/>
      <c r="BG44" s="39">
        <f t="shared" ref="BG44" si="229">BF44*BC44</f>
        <v>0</v>
      </c>
      <c r="BH44" s="38"/>
      <c r="BI44" s="39">
        <f t="shared" ref="BI44" si="230">BH44*BC44</f>
        <v>0</v>
      </c>
      <c r="BJ44" s="38"/>
      <c r="BK44" s="39">
        <f t="shared" ref="BK44" si="231">BJ44*BC44</f>
        <v>0</v>
      </c>
      <c r="BL44" s="40"/>
      <c r="BM44" s="36">
        <v>1</v>
      </c>
      <c r="BN44" s="37">
        <f t="shared" ref="BN44" si="232">BM44*$F44</f>
        <v>-55318.153846153844</v>
      </c>
      <c r="BO44" s="38"/>
      <c r="BP44" s="39">
        <f t="shared" ref="BP44" si="233">BO44*BN44</f>
        <v>0</v>
      </c>
      <c r="BQ44" s="38">
        <v>1</v>
      </c>
      <c r="BR44" s="39">
        <f t="shared" ref="BR44" si="234">BQ44*BN44</f>
        <v>-55318.153846153844</v>
      </c>
      <c r="BS44" s="38"/>
      <c r="BT44" s="39">
        <f t="shared" ref="BT44" si="235">BS44*BN44</f>
        <v>0</v>
      </c>
      <c r="BU44" s="38"/>
      <c r="BV44" s="39">
        <f t="shared" ref="BV44" si="236">BU44*BN44</f>
        <v>0</v>
      </c>
      <c r="BW44" s="40"/>
      <c r="BX44" s="36"/>
      <c r="BY44" s="37">
        <f t="shared" ref="BY44" si="237">BX44*$F44</f>
        <v>0</v>
      </c>
      <c r="BZ44" s="38"/>
      <c r="CA44" s="39">
        <f t="shared" ref="CA44" si="238">BZ44*BY44</f>
        <v>0</v>
      </c>
      <c r="CB44" s="38"/>
      <c r="CC44" s="39">
        <f t="shared" ref="CC44" si="239">CB44*BY44</f>
        <v>0</v>
      </c>
      <c r="CD44" s="38"/>
      <c r="CE44" s="39">
        <f t="shared" ref="CE44" si="240">CD44*BY44</f>
        <v>0</v>
      </c>
      <c r="CF44" s="38"/>
      <c r="CG44" s="39">
        <f t="shared" ref="CG44" si="241">CF44*BY44</f>
        <v>0</v>
      </c>
      <c r="CH44" s="40"/>
      <c r="CI44" s="36"/>
      <c r="CJ44" s="37">
        <f t="shared" ref="CJ44" si="242">CI44*$F44</f>
        <v>0</v>
      </c>
      <c r="CK44" s="38"/>
      <c r="CL44" s="39">
        <f t="shared" ref="CL44" si="243">CK44*CJ44</f>
        <v>0</v>
      </c>
      <c r="CM44" s="38"/>
      <c r="CN44" s="39">
        <f t="shared" ref="CN44" si="244">CM44*CJ44</f>
        <v>0</v>
      </c>
      <c r="CO44" s="38"/>
      <c r="CP44" s="39">
        <f t="shared" ref="CP44" si="245">CO44*CJ44</f>
        <v>0</v>
      </c>
      <c r="CQ44" s="38"/>
      <c r="CR44" s="39">
        <f t="shared" ref="CR44" si="246">CQ44*CJ44</f>
        <v>0</v>
      </c>
      <c r="CS44" s="41">
        <f>F44</f>
        <v>-55318.153846153844</v>
      </c>
      <c r="CT44" s="41">
        <f>K44+V44+AG44+AR44+BC44+BN44+BY44+CJ44</f>
        <v>-55318.153846153844</v>
      </c>
      <c r="CU44" s="41" t="e">
        <f>M44+O44+Q44+S44+#REF!+X44+Z44+AB44+AD44+#REF!+AI44+AK44+AM44+AO44+#REF!+AT44+AV44+AX44+AZ44+#REF!+BE44+BG44+BI44+BK44+#REF!+BP44+BR44+BT44+BV44+#REF!+CA44+CC44+CE44+CG44+#REF!+CL44+CN44+CP44+CR44+#REF!</f>
        <v>#REF!</v>
      </c>
      <c r="CV44" s="16" t="e">
        <f t="shared" si="206"/>
        <v>#REF!</v>
      </c>
    </row>
    <row r="45" spans="1:100" x14ac:dyDescent="0.25">
      <c r="B45" s="99" t="s">
        <v>146</v>
      </c>
      <c r="C45" s="100" t="s">
        <v>33</v>
      </c>
      <c r="D45" s="101">
        <v>120</v>
      </c>
      <c r="E45" s="34">
        <f>$K$95</f>
        <v>-108.3695731319762</v>
      </c>
      <c r="F45" s="94">
        <f>D45*E45</f>
        <v>-13004.348775837143</v>
      </c>
      <c r="G45" s="40"/>
      <c r="H45" s="162">
        <v>-123.79</v>
      </c>
      <c r="I45" s="40"/>
      <c r="J45" s="36"/>
      <c r="K45" s="37"/>
      <c r="L45" s="38"/>
      <c r="M45" s="39"/>
      <c r="N45" s="38"/>
      <c r="O45" s="39"/>
      <c r="P45" s="38"/>
      <c r="Q45" s="39"/>
      <c r="R45" s="38"/>
      <c r="S45" s="39"/>
      <c r="T45" s="40"/>
      <c r="U45" s="36"/>
      <c r="V45" s="37"/>
      <c r="W45" s="38"/>
      <c r="X45" s="39"/>
      <c r="Y45" s="38"/>
      <c r="Z45" s="39"/>
      <c r="AA45" s="38"/>
      <c r="AB45" s="39"/>
      <c r="AC45" s="38"/>
      <c r="AD45" s="39"/>
      <c r="AE45" s="40"/>
      <c r="AF45" s="36"/>
      <c r="AG45" s="37"/>
      <c r="AH45" s="38"/>
      <c r="AI45" s="39"/>
      <c r="AJ45" s="38"/>
      <c r="AK45" s="39"/>
      <c r="AL45" s="38"/>
      <c r="AM45" s="39"/>
      <c r="AN45" s="38"/>
      <c r="AO45" s="39"/>
      <c r="AP45" s="40"/>
      <c r="AQ45" s="36"/>
      <c r="AR45" s="37"/>
      <c r="AS45" s="38"/>
      <c r="AT45" s="39"/>
      <c r="AU45" s="38"/>
      <c r="AV45" s="39"/>
      <c r="AW45" s="38"/>
      <c r="AX45" s="39"/>
      <c r="AY45" s="38"/>
      <c r="AZ45" s="39"/>
      <c r="BA45" s="40"/>
      <c r="BB45" s="36"/>
      <c r="BC45" s="37"/>
      <c r="BD45" s="38"/>
      <c r="BE45" s="39"/>
      <c r="BF45" s="38"/>
      <c r="BG45" s="39"/>
      <c r="BH45" s="38"/>
      <c r="BI45" s="39"/>
      <c r="BJ45" s="38"/>
      <c r="BK45" s="39"/>
      <c r="BL45" s="40"/>
      <c r="BM45" s="36"/>
      <c r="BN45" s="37"/>
      <c r="BO45" s="38"/>
      <c r="BP45" s="39"/>
      <c r="BQ45" s="38"/>
      <c r="BR45" s="39"/>
      <c r="BS45" s="38"/>
      <c r="BT45" s="39"/>
      <c r="BU45" s="38"/>
      <c r="BV45" s="39"/>
      <c r="BW45" s="40"/>
      <c r="BX45" s="36"/>
      <c r="BY45" s="37"/>
      <c r="BZ45" s="38"/>
      <c r="CA45" s="39"/>
      <c r="CB45" s="38"/>
      <c r="CC45" s="39"/>
      <c r="CD45" s="38"/>
      <c r="CE45" s="39"/>
      <c r="CF45" s="38"/>
      <c r="CG45" s="39"/>
      <c r="CH45" s="40"/>
      <c r="CI45" s="36"/>
      <c r="CJ45" s="37"/>
      <c r="CK45" s="38"/>
      <c r="CL45" s="39"/>
      <c r="CM45" s="38"/>
      <c r="CN45" s="39"/>
      <c r="CO45" s="38"/>
      <c r="CP45" s="39"/>
      <c r="CQ45" s="38"/>
      <c r="CR45" s="39"/>
      <c r="CS45" s="41"/>
      <c r="CT45" s="41"/>
      <c r="CU45" s="41"/>
      <c r="CV45" s="16"/>
    </row>
    <row r="46" spans="1:100" x14ac:dyDescent="0.25">
      <c r="B46" s="46" t="s">
        <v>44</v>
      </c>
      <c r="C46" s="42" t="s">
        <v>40</v>
      </c>
      <c r="D46" s="53">
        <v>11896.481481481482</v>
      </c>
      <c r="E46" s="191">
        <f>H46*$K$106</f>
        <v>40.816000000000003</v>
      </c>
      <c r="F46" s="94">
        <v>475859.25925925927</v>
      </c>
      <c r="G46" s="40"/>
      <c r="H46" s="162">
        <v>40</v>
      </c>
      <c r="I46" s="40"/>
      <c r="J46" s="36"/>
      <c r="K46" s="37">
        <f t="shared" ref="K46" si="247">J46*$F46</f>
        <v>0</v>
      </c>
      <c r="L46" s="38"/>
      <c r="M46" s="39">
        <f t="shared" ref="M46" si="248">L46*K46</f>
        <v>0</v>
      </c>
      <c r="N46" s="38"/>
      <c r="O46" s="39">
        <f t="shared" ref="O46" si="249">N46*K46</f>
        <v>0</v>
      </c>
      <c r="P46" s="38"/>
      <c r="Q46" s="39">
        <f t="shared" ref="Q46" si="250">P46*K46</f>
        <v>0</v>
      </c>
      <c r="R46" s="38"/>
      <c r="S46" s="39">
        <f t="shared" ref="S46" si="251">R46*K46</f>
        <v>0</v>
      </c>
      <c r="T46" s="40"/>
      <c r="U46" s="36">
        <v>1</v>
      </c>
      <c r="V46" s="37">
        <f t="shared" ref="V46" si="252">U46*$F46</f>
        <v>475859.25925925927</v>
      </c>
      <c r="W46" s="38"/>
      <c r="X46" s="39">
        <f t="shared" ref="X46" si="253">W46*V46</f>
        <v>0</v>
      </c>
      <c r="Y46" s="38">
        <v>1</v>
      </c>
      <c r="Z46" s="39">
        <f t="shared" ref="Z46" si="254">Y46*V46</f>
        <v>475859.25925925927</v>
      </c>
      <c r="AA46" s="38"/>
      <c r="AB46" s="39">
        <f t="shared" ref="AB46" si="255">AA46*V46</f>
        <v>0</v>
      </c>
      <c r="AC46" s="38"/>
      <c r="AD46" s="39">
        <f t="shared" ref="AD46" si="256">AC46*V46</f>
        <v>0</v>
      </c>
      <c r="AE46" s="40"/>
      <c r="AF46" s="36"/>
      <c r="AG46" s="37">
        <f t="shared" ref="AG46" si="257">AF46*$F46</f>
        <v>0</v>
      </c>
      <c r="AH46" s="38"/>
      <c r="AI46" s="39">
        <f t="shared" ref="AI46" si="258">AH46*AG46</f>
        <v>0</v>
      </c>
      <c r="AJ46" s="38"/>
      <c r="AK46" s="39">
        <f t="shared" ref="AK46" si="259">AJ46*AG46</f>
        <v>0</v>
      </c>
      <c r="AL46" s="38"/>
      <c r="AM46" s="39">
        <f t="shared" ref="AM46" si="260">AL46*AG46</f>
        <v>0</v>
      </c>
      <c r="AN46" s="38"/>
      <c r="AO46" s="39">
        <f t="shared" ref="AO46" si="261">AN46*AG46</f>
        <v>0</v>
      </c>
      <c r="AP46" s="40"/>
      <c r="AQ46" s="36"/>
      <c r="AR46" s="37">
        <f t="shared" ref="AR46" si="262">AQ46*$F46</f>
        <v>0</v>
      </c>
      <c r="AS46" s="38"/>
      <c r="AT46" s="39">
        <f t="shared" ref="AT46" si="263">AS46*AR46</f>
        <v>0</v>
      </c>
      <c r="AU46" s="38"/>
      <c r="AV46" s="39">
        <f t="shared" ref="AV46" si="264">AU46*AR46</f>
        <v>0</v>
      </c>
      <c r="AW46" s="38"/>
      <c r="AX46" s="39">
        <f t="shared" ref="AX46" si="265">AW46*AR46</f>
        <v>0</v>
      </c>
      <c r="AY46" s="38"/>
      <c r="AZ46" s="39">
        <f t="shared" ref="AZ46" si="266">AY46*AR46</f>
        <v>0</v>
      </c>
      <c r="BA46" s="40"/>
      <c r="BB46" s="36"/>
      <c r="BC46" s="37">
        <f t="shared" ref="BC46" si="267">BB46*$F46</f>
        <v>0</v>
      </c>
      <c r="BD46" s="38"/>
      <c r="BE46" s="39">
        <f t="shared" ref="BE46" si="268">BD46*BC46</f>
        <v>0</v>
      </c>
      <c r="BF46" s="38"/>
      <c r="BG46" s="39">
        <f t="shared" ref="BG46" si="269">BF46*BC46</f>
        <v>0</v>
      </c>
      <c r="BH46" s="38"/>
      <c r="BI46" s="39">
        <f t="shared" ref="BI46" si="270">BH46*BC46</f>
        <v>0</v>
      </c>
      <c r="BJ46" s="38"/>
      <c r="BK46" s="39">
        <f t="shared" ref="BK46" si="271">BJ46*BC46</f>
        <v>0</v>
      </c>
      <c r="BL46" s="40"/>
      <c r="BM46" s="36"/>
      <c r="BN46" s="37">
        <f t="shared" ref="BN46" si="272">BM46*$F46</f>
        <v>0</v>
      </c>
      <c r="BO46" s="38"/>
      <c r="BP46" s="39">
        <f t="shared" ref="BP46" si="273">BO46*BN46</f>
        <v>0</v>
      </c>
      <c r="BQ46" s="38"/>
      <c r="BR46" s="39">
        <f t="shared" ref="BR46" si="274">BQ46*BN46</f>
        <v>0</v>
      </c>
      <c r="BS46" s="38"/>
      <c r="BT46" s="39">
        <f t="shared" ref="BT46" si="275">BS46*BN46</f>
        <v>0</v>
      </c>
      <c r="BU46" s="38"/>
      <c r="BV46" s="39">
        <f t="shared" ref="BV46" si="276">BU46*BN46</f>
        <v>0</v>
      </c>
      <c r="BW46" s="40"/>
      <c r="BX46" s="36"/>
      <c r="BY46" s="37">
        <f t="shared" ref="BY46" si="277">BX46*$F46</f>
        <v>0</v>
      </c>
      <c r="BZ46" s="38"/>
      <c r="CA46" s="39">
        <f t="shared" ref="CA46" si="278">BZ46*BY46</f>
        <v>0</v>
      </c>
      <c r="CB46" s="38"/>
      <c r="CC46" s="39">
        <f t="shared" ref="CC46" si="279">CB46*BY46</f>
        <v>0</v>
      </c>
      <c r="CD46" s="38"/>
      <c r="CE46" s="39">
        <f t="shared" ref="CE46" si="280">CD46*BY46</f>
        <v>0</v>
      </c>
      <c r="CF46" s="38"/>
      <c r="CG46" s="39">
        <f t="shared" ref="CG46" si="281">CF46*BY46</f>
        <v>0</v>
      </c>
      <c r="CH46" s="40"/>
      <c r="CI46" s="36"/>
      <c r="CJ46" s="37">
        <f t="shared" ref="CJ46" si="282">CI46*$F46</f>
        <v>0</v>
      </c>
      <c r="CK46" s="38"/>
      <c r="CL46" s="39">
        <f t="shared" ref="CL46" si="283">CK46*CJ46</f>
        <v>0</v>
      </c>
      <c r="CM46" s="38"/>
      <c r="CN46" s="39">
        <f t="shared" ref="CN46" si="284">CM46*CJ46</f>
        <v>0</v>
      </c>
      <c r="CO46" s="38"/>
      <c r="CP46" s="39">
        <f t="shared" ref="CP46" si="285">CO46*CJ46</f>
        <v>0</v>
      </c>
      <c r="CQ46" s="38"/>
      <c r="CR46" s="39">
        <f t="shared" ref="CR46" si="286">CQ46*CJ46</f>
        <v>0</v>
      </c>
      <c r="CS46" s="41">
        <f>F46</f>
        <v>475859.25925925927</v>
      </c>
      <c r="CT46" s="41">
        <f>K46+V46+AG46+AR46+BC46+BN46+BY46+CJ46</f>
        <v>475859.25925925927</v>
      </c>
      <c r="CU46" s="41" t="e">
        <f>M46+O46+Q46+S46+#REF!+X46+Z46+AB46+AD46+#REF!+AI46+AK46+AM46+AO46+#REF!+AT46+AV46+AX46+AZ46+#REF!+BE46+BG46+BI46+BK46+#REF!+BP46+BR46+BT46+BV46+#REF!+CA46+CC46+CE46+CG46+#REF!+CL46+CN46+CP46+CR46+#REF!</f>
        <v>#REF!</v>
      </c>
      <c r="CV46" s="16" t="e">
        <f t="shared" si="206"/>
        <v>#REF!</v>
      </c>
    </row>
    <row r="47" spans="1:100" x14ac:dyDescent="0.25">
      <c r="B47" s="46"/>
      <c r="C47" s="42"/>
      <c r="D47" s="53"/>
      <c r="E47" s="34"/>
      <c r="F47" s="34"/>
      <c r="G47" s="40"/>
      <c r="H47" s="162">
        <v>0</v>
      </c>
      <c r="I47" s="40"/>
      <c r="J47" s="36"/>
      <c r="K47" s="37"/>
      <c r="L47" s="38"/>
      <c r="M47" s="39"/>
      <c r="N47" s="38"/>
      <c r="O47" s="39"/>
      <c r="P47" s="38"/>
      <c r="Q47" s="39"/>
      <c r="R47" s="38"/>
      <c r="S47" s="39"/>
      <c r="T47" s="40"/>
      <c r="U47" s="36"/>
      <c r="V47" s="37"/>
      <c r="W47" s="38"/>
      <c r="X47" s="39"/>
      <c r="Y47" s="38"/>
      <c r="Z47" s="39"/>
      <c r="AA47" s="38"/>
      <c r="AB47" s="39"/>
      <c r="AC47" s="38"/>
      <c r="AD47" s="39"/>
      <c r="AE47" s="40"/>
      <c r="AF47" s="36"/>
      <c r="AG47" s="37"/>
      <c r="AH47" s="38"/>
      <c r="AI47" s="39"/>
      <c r="AJ47" s="38"/>
      <c r="AK47" s="39"/>
      <c r="AL47" s="38"/>
      <c r="AM47" s="39"/>
      <c r="AN47" s="38"/>
      <c r="AO47" s="39"/>
      <c r="AP47" s="40"/>
      <c r="AQ47" s="36"/>
      <c r="AR47" s="37"/>
      <c r="AS47" s="38"/>
      <c r="AT47" s="39"/>
      <c r="AU47" s="38"/>
      <c r="AV47" s="39"/>
      <c r="AW47" s="38"/>
      <c r="AX47" s="39"/>
      <c r="AY47" s="38"/>
      <c r="AZ47" s="39"/>
      <c r="BA47" s="40"/>
      <c r="BB47" s="36"/>
      <c r="BC47" s="37"/>
      <c r="BD47" s="38"/>
      <c r="BE47" s="39"/>
      <c r="BF47" s="38"/>
      <c r="BG47" s="39"/>
      <c r="BH47" s="38"/>
      <c r="BI47" s="39"/>
      <c r="BJ47" s="38"/>
      <c r="BK47" s="39"/>
      <c r="BL47" s="40"/>
      <c r="BM47" s="36"/>
      <c r="BN47" s="37"/>
      <c r="BO47" s="38"/>
      <c r="BP47" s="39"/>
      <c r="BQ47" s="38"/>
      <c r="BR47" s="39"/>
      <c r="BS47" s="38"/>
      <c r="BT47" s="39"/>
      <c r="BU47" s="38"/>
      <c r="BV47" s="39"/>
      <c r="BW47" s="40"/>
      <c r="BX47" s="36"/>
      <c r="BY47" s="37"/>
      <c r="BZ47" s="38"/>
      <c r="CA47" s="39"/>
      <c r="CB47" s="38"/>
      <c r="CC47" s="39"/>
      <c r="CD47" s="38"/>
      <c r="CE47" s="39"/>
      <c r="CF47" s="38"/>
      <c r="CG47" s="39"/>
      <c r="CH47" s="40"/>
      <c r="CI47" s="36"/>
      <c r="CJ47" s="37"/>
      <c r="CK47" s="38"/>
      <c r="CL47" s="39"/>
      <c r="CM47" s="38"/>
      <c r="CN47" s="39"/>
      <c r="CO47" s="38"/>
      <c r="CP47" s="39"/>
      <c r="CQ47" s="38"/>
      <c r="CR47" s="39"/>
      <c r="CS47" s="41"/>
      <c r="CT47" s="41"/>
      <c r="CU47" s="41"/>
      <c r="CV47" s="16"/>
    </row>
    <row r="48" spans="1:100" x14ac:dyDescent="0.25">
      <c r="A48" s="1" t="s">
        <v>195</v>
      </c>
      <c r="C48" s="45"/>
      <c r="D48" s="53"/>
      <c r="E48" s="50"/>
      <c r="F48" s="34">
        <v>0</v>
      </c>
      <c r="G48" s="40"/>
      <c r="H48" s="162">
        <v>0</v>
      </c>
      <c r="I48" s="40"/>
      <c r="J48" s="36"/>
      <c r="K48" s="37">
        <f t="shared" ref="K48:K54" si="287">J48*$F48</f>
        <v>0</v>
      </c>
      <c r="L48" s="38"/>
      <c r="M48" s="39">
        <f>L48*K48</f>
        <v>0</v>
      </c>
      <c r="N48" s="38"/>
      <c r="O48" s="39">
        <f>N48*K48</f>
        <v>0</v>
      </c>
      <c r="P48" s="38"/>
      <c r="Q48" s="39">
        <f>P48*K48</f>
        <v>0</v>
      </c>
      <c r="R48" s="38"/>
      <c r="S48" s="39">
        <f>R48*K48</f>
        <v>0</v>
      </c>
      <c r="T48" s="40"/>
      <c r="U48" s="36"/>
      <c r="V48" s="37">
        <f t="shared" ref="V48:V54" si="288">U48*$F48</f>
        <v>0</v>
      </c>
      <c r="W48" s="38"/>
      <c r="X48" s="39">
        <f>W48*V48</f>
        <v>0</v>
      </c>
      <c r="Y48" s="38"/>
      <c r="Z48" s="39">
        <f>Y48*V48</f>
        <v>0</v>
      </c>
      <c r="AA48" s="38"/>
      <c r="AB48" s="39">
        <f>AA48*V48</f>
        <v>0</v>
      </c>
      <c r="AC48" s="38"/>
      <c r="AD48" s="39">
        <f>AC48*V48</f>
        <v>0</v>
      </c>
      <c r="AE48" s="40"/>
      <c r="AF48" s="36"/>
      <c r="AG48" s="37">
        <f t="shared" ref="AG48:AG54" si="289">AF48*$F48</f>
        <v>0</v>
      </c>
      <c r="AH48" s="38"/>
      <c r="AI48" s="39">
        <f>AH48*AG48</f>
        <v>0</v>
      </c>
      <c r="AJ48" s="38"/>
      <c r="AK48" s="39">
        <f>AJ48*AG48</f>
        <v>0</v>
      </c>
      <c r="AL48" s="38"/>
      <c r="AM48" s="39">
        <f>AL48*AG48</f>
        <v>0</v>
      </c>
      <c r="AN48" s="38"/>
      <c r="AO48" s="39">
        <f>AN48*AG48</f>
        <v>0</v>
      </c>
      <c r="AP48" s="40"/>
      <c r="AQ48" s="36"/>
      <c r="AR48" s="37">
        <f t="shared" ref="AR48:AR54" si="290">AQ48*$F48</f>
        <v>0</v>
      </c>
      <c r="AS48" s="38"/>
      <c r="AT48" s="39">
        <f>AS48*AR48</f>
        <v>0</v>
      </c>
      <c r="AU48" s="38"/>
      <c r="AV48" s="39">
        <f>AU48*AR48</f>
        <v>0</v>
      </c>
      <c r="AW48" s="38"/>
      <c r="AX48" s="39">
        <f>AW48*AR48</f>
        <v>0</v>
      </c>
      <c r="AY48" s="38"/>
      <c r="AZ48" s="39">
        <f>AY48*AR48</f>
        <v>0</v>
      </c>
      <c r="BA48" s="40"/>
      <c r="BB48" s="36"/>
      <c r="BC48" s="37">
        <f t="shared" ref="BC48:BC54" si="291">BB48*$F48</f>
        <v>0</v>
      </c>
      <c r="BD48" s="38"/>
      <c r="BE48" s="39">
        <f>BD48*BC48</f>
        <v>0</v>
      </c>
      <c r="BF48" s="38"/>
      <c r="BG48" s="39">
        <f>BF48*BC48</f>
        <v>0</v>
      </c>
      <c r="BH48" s="38"/>
      <c r="BI48" s="39">
        <f>BH48*BC48</f>
        <v>0</v>
      </c>
      <c r="BJ48" s="38"/>
      <c r="BK48" s="39">
        <f>BJ48*BC48</f>
        <v>0</v>
      </c>
      <c r="BL48" s="40"/>
      <c r="BM48" s="36"/>
      <c r="BN48" s="37">
        <f t="shared" ref="BN48:BN54" si="292">BM48*$F48</f>
        <v>0</v>
      </c>
      <c r="BO48" s="38"/>
      <c r="BP48" s="39">
        <f>BO48*BN48</f>
        <v>0</v>
      </c>
      <c r="BQ48" s="38"/>
      <c r="BR48" s="39">
        <f>BQ48*BN48</f>
        <v>0</v>
      </c>
      <c r="BS48" s="38"/>
      <c r="BT48" s="39">
        <f>BS48*BN48</f>
        <v>0</v>
      </c>
      <c r="BU48" s="38"/>
      <c r="BV48" s="39">
        <f>BU48*BN48</f>
        <v>0</v>
      </c>
      <c r="BW48" s="40"/>
      <c r="BX48" s="36"/>
      <c r="BY48" s="37">
        <f t="shared" ref="BY48:BY54" si="293">BX48*$F48</f>
        <v>0</v>
      </c>
      <c r="BZ48" s="38"/>
      <c r="CA48" s="39">
        <f>BZ48*BY48</f>
        <v>0</v>
      </c>
      <c r="CB48" s="38"/>
      <c r="CC48" s="39">
        <f>CB48*BY48</f>
        <v>0</v>
      </c>
      <c r="CD48" s="38"/>
      <c r="CE48" s="39">
        <f>CD48*BY48</f>
        <v>0</v>
      </c>
      <c r="CF48" s="38"/>
      <c r="CG48" s="39">
        <f>CF48*BY48</f>
        <v>0</v>
      </c>
      <c r="CH48" s="40"/>
      <c r="CI48" s="36"/>
      <c r="CJ48" s="37">
        <f t="shared" ref="CJ48:CJ54" si="294">CI48*$F48</f>
        <v>0</v>
      </c>
      <c r="CK48" s="38"/>
      <c r="CL48" s="39">
        <f>CK48*CJ48</f>
        <v>0</v>
      </c>
      <c r="CM48" s="38"/>
      <c r="CN48" s="39">
        <f>CM48*CJ48</f>
        <v>0</v>
      </c>
      <c r="CO48" s="38"/>
      <c r="CP48" s="39">
        <f>CO48*CJ48</f>
        <v>0</v>
      </c>
      <c r="CQ48" s="38"/>
      <c r="CR48" s="39">
        <f>CQ48*CJ48</f>
        <v>0</v>
      </c>
      <c r="CS48" s="41">
        <f t="shared" ref="CS48:CS54" si="295">F48</f>
        <v>0</v>
      </c>
      <c r="CT48" s="41">
        <f t="shared" ref="CT48:CT54" si="296">K48+V48+AG48+AR48+BC48+BN48+BY48+CJ48</f>
        <v>0</v>
      </c>
      <c r="CU48" s="41" t="e">
        <f>M48+O48+Q48+S48+#REF!+X48+Z48+AB48+AD48+#REF!+AI48+AK48+AM48+AO48+#REF!+AT48+AV48+AX48+AZ48+#REF!+BE48+BG48+BI48+BK48+#REF!+BP48+BR48+BT48+BV48+#REF!+CA48+CC48+CE48+CG48+#REF!+CL48+CN48+CP48+CR48+#REF!</f>
        <v>#REF!</v>
      </c>
      <c r="CV48" s="16" t="e">
        <f>IF(AND(CS48=CT48,CT48=CU48,CS48=CU48),0,1)</f>
        <v>#REF!</v>
      </c>
    </row>
    <row r="49" spans="1:100" x14ac:dyDescent="0.25">
      <c r="B49" s="48" t="s">
        <v>32</v>
      </c>
      <c r="C49" s="42" t="s">
        <v>33</v>
      </c>
      <c r="D49" s="53">
        <v>750</v>
      </c>
      <c r="E49" s="191">
        <f>H49*$K$106</f>
        <v>244.89599999999999</v>
      </c>
      <c r="F49" s="94">
        <v>180000</v>
      </c>
      <c r="G49" s="40"/>
      <c r="H49" s="162">
        <v>240</v>
      </c>
      <c r="I49" s="40"/>
      <c r="J49" s="36"/>
      <c r="K49" s="37">
        <f t="shared" si="287"/>
        <v>0</v>
      </c>
      <c r="L49" s="38"/>
      <c r="M49" s="39">
        <f>L49*K49</f>
        <v>0</v>
      </c>
      <c r="N49" s="38"/>
      <c r="O49" s="39">
        <f>N49*K49</f>
        <v>0</v>
      </c>
      <c r="P49" s="38"/>
      <c r="Q49" s="39">
        <f>P49*K49</f>
        <v>0</v>
      </c>
      <c r="R49" s="38"/>
      <c r="S49" s="39">
        <f>R49*K49</f>
        <v>0</v>
      </c>
      <c r="T49" s="40"/>
      <c r="U49" s="36"/>
      <c r="V49" s="37">
        <f t="shared" si="288"/>
        <v>0</v>
      </c>
      <c r="W49" s="38"/>
      <c r="X49" s="39">
        <f>W49*V49</f>
        <v>0</v>
      </c>
      <c r="Y49" s="38"/>
      <c r="Z49" s="39">
        <f>Y49*V49</f>
        <v>0</v>
      </c>
      <c r="AA49" s="38"/>
      <c r="AB49" s="39">
        <f>AA49*V49</f>
        <v>0</v>
      </c>
      <c r="AC49" s="38"/>
      <c r="AD49" s="39">
        <f>AC49*V49</f>
        <v>0</v>
      </c>
      <c r="AE49" s="40"/>
      <c r="AF49" s="36">
        <v>0.8</v>
      </c>
      <c r="AG49" s="37">
        <f t="shared" si="289"/>
        <v>144000</v>
      </c>
      <c r="AH49" s="38">
        <v>1</v>
      </c>
      <c r="AI49" s="39">
        <f>AH49*AG49</f>
        <v>144000</v>
      </c>
      <c r="AJ49" s="38"/>
      <c r="AK49" s="39">
        <f>AJ49*AG49</f>
        <v>0</v>
      </c>
      <c r="AL49" s="38"/>
      <c r="AM49" s="39">
        <f>AL49*AG49</f>
        <v>0</v>
      </c>
      <c r="AN49" s="38"/>
      <c r="AO49" s="39">
        <f>AN49*AG49</f>
        <v>0</v>
      </c>
      <c r="AP49" s="40"/>
      <c r="AQ49" s="36">
        <v>0.2</v>
      </c>
      <c r="AR49" s="37">
        <f t="shared" si="290"/>
        <v>36000</v>
      </c>
      <c r="AS49" s="38">
        <v>1</v>
      </c>
      <c r="AT49" s="39">
        <f>AS49*AR49</f>
        <v>36000</v>
      </c>
      <c r="AU49" s="38"/>
      <c r="AV49" s="39">
        <f>AU49*AR49</f>
        <v>0</v>
      </c>
      <c r="AW49" s="38"/>
      <c r="AX49" s="39">
        <f>AW49*AR49</f>
        <v>0</v>
      </c>
      <c r="AY49" s="38"/>
      <c r="AZ49" s="39">
        <f>AY49*AR49</f>
        <v>0</v>
      </c>
      <c r="BA49" s="40"/>
      <c r="BB49" s="36"/>
      <c r="BC49" s="37">
        <f t="shared" si="291"/>
        <v>0</v>
      </c>
      <c r="BD49" s="38"/>
      <c r="BE49" s="39">
        <f>BD49*BC49</f>
        <v>0</v>
      </c>
      <c r="BF49" s="38"/>
      <c r="BG49" s="39">
        <f>BF49*BC49</f>
        <v>0</v>
      </c>
      <c r="BH49" s="38"/>
      <c r="BI49" s="39">
        <f>BH49*BC49</f>
        <v>0</v>
      </c>
      <c r="BJ49" s="38"/>
      <c r="BK49" s="39">
        <f>BJ49*BC49</f>
        <v>0</v>
      </c>
      <c r="BL49" s="40"/>
      <c r="BM49" s="36"/>
      <c r="BN49" s="37">
        <f t="shared" si="292"/>
        <v>0</v>
      </c>
      <c r="BO49" s="38"/>
      <c r="BP49" s="39">
        <f>BO49*BN49</f>
        <v>0</v>
      </c>
      <c r="BQ49" s="38"/>
      <c r="BR49" s="39">
        <f>BQ49*BN49</f>
        <v>0</v>
      </c>
      <c r="BS49" s="38"/>
      <c r="BT49" s="39">
        <f>BS49*BN49</f>
        <v>0</v>
      </c>
      <c r="BU49" s="38"/>
      <c r="BV49" s="39">
        <f>BU49*BN49</f>
        <v>0</v>
      </c>
      <c r="BW49" s="40"/>
      <c r="BX49" s="36"/>
      <c r="BY49" s="37">
        <f t="shared" si="293"/>
        <v>0</v>
      </c>
      <c r="BZ49" s="38"/>
      <c r="CA49" s="39">
        <f>BZ49*BY49</f>
        <v>0</v>
      </c>
      <c r="CB49" s="38"/>
      <c r="CC49" s="39">
        <f>CB49*BY49</f>
        <v>0</v>
      </c>
      <c r="CD49" s="38"/>
      <c r="CE49" s="39">
        <f>CD49*BY49</f>
        <v>0</v>
      </c>
      <c r="CF49" s="38"/>
      <c r="CG49" s="39">
        <f>CF49*BY49</f>
        <v>0</v>
      </c>
      <c r="CH49" s="40"/>
      <c r="CI49" s="36"/>
      <c r="CJ49" s="37">
        <f t="shared" si="294"/>
        <v>0</v>
      </c>
      <c r="CK49" s="38"/>
      <c r="CL49" s="39">
        <f>CK49*CJ49</f>
        <v>0</v>
      </c>
      <c r="CM49" s="38"/>
      <c r="CN49" s="39">
        <f>CM49*CJ49</f>
        <v>0</v>
      </c>
      <c r="CO49" s="38"/>
      <c r="CP49" s="39">
        <f>CO49*CJ49</f>
        <v>0</v>
      </c>
      <c r="CQ49" s="38"/>
      <c r="CR49" s="39">
        <f>CQ49*CJ49</f>
        <v>0</v>
      </c>
      <c r="CS49" s="41">
        <f t="shared" si="295"/>
        <v>180000</v>
      </c>
      <c r="CT49" s="41">
        <f t="shared" si="296"/>
        <v>180000</v>
      </c>
      <c r="CU49" s="41" t="e">
        <f>M49+O49+Q49+S49+#REF!+X49+Z49+AB49+AD49+#REF!+AI49+AK49+AM49+AO49+#REF!+AT49+AV49+AX49+AZ49+#REF!+BE49+BG49+BI49+BK49+#REF!+BP49+BR49+BT49+BV49+#REF!+CA49+CC49+CE49+CG49+#REF!+CL49+CN49+CP49+CR49+#REF!</f>
        <v>#REF!</v>
      </c>
      <c r="CV49" s="16" t="e">
        <f>IF(AND(CS49=CT49,CT49=CU49,CS49=CU49),0,1)</f>
        <v>#REF!</v>
      </c>
    </row>
    <row r="50" spans="1:100" x14ac:dyDescent="0.25">
      <c r="B50" s="46" t="s">
        <v>34</v>
      </c>
      <c r="C50" s="42" t="s">
        <v>33</v>
      </c>
      <c r="D50" s="53">
        <v>750</v>
      </c>
      <c r="E50" s="34">
        <f>$K$95</f>
        <v>-108.3695731319762</v>
      </c>
      <c r="F50" s="94">
        <v>-135394.73684210525</v>
      </c>
      <c r="G50" s="40"/>
      <c r="H50" s="162">
        <v>-123.79</v>
      </c>
      <c r="I50" s="40"/>
      <c r="J50" s="36"/>
      <c r="K50" s="37">
        <f t="shared" si="287"/>
        <v>0</v>
      </c>
      <c r="L50" s="38"/>
      <c r="M50" s="39">
        <f>L50*K50</f>
        <v>0</v>
      </c>
      <c r="N50" s="38"/>
      <c r="O50" s="39">
        <f>N50*K50</f>
        <v>0</v>
      </c>
      <c r="P50" s="38"/>
      <c r="Q50" s="39">
        <f>P50*K50</f>
        <v>0</v>
      </c>
      <c r="R50" s="38"/>
      <c r="S50" s="39">
        <f>R50*K50</f>
        <v>0</v>
      </c>
      <c r="T50" s="40"/>
      <c r="U50" s="36"/>
      <c r="V50" s="37">
        <f t="shared" si="288"/>
        <v>0</v>
      </c>
      <c r="W50" s="38"/>
      <c r="X50" s="39">
        <f>W50*V50</f>
        <v>0</v>
      </c>
      <c r="Y50" s="38"/>
      <c r="Z50" s="39">
        <f>Y50*V50</f>
        <v>0</v>
      </c>
      <c r="AA50" s="38"/>
      <c r="AB50" s="39">
        <f>AA50*V50</f>
        <v>0</v>
      </c>
      <c r="AC50" s="38"/>
      <c r="AD50" s="39">
        <f>AC50*V50</f>
        <v>0</v>
      </c>
      <c r="AE50" s="40"/>
      <c r="AF50" s="36">
        <v>0.8</v>
      </c>
      <c r="AG50" s="37">
        <f t="shared" si="289"/>
        <v>-108315.78947368421</v>
      </c>
      <c r="AH50" s="38">
        <v>1</v>
      </c>
      <c r="AI50" s="39">
        <f>AH50*AG50</f>
        <v>-108315.78947368421</v>
      </c>
      <c r="AJ50" s="38"/>
      <c r="AK50" s="39">
        <f>AJ50*AG50</f>
        <v>0</v>
      </c>
      <c r="AL50" s="38"/>
      <c r="AM50" s="39">
        <f>AL50*AG50</f>
        <v>0</v>
      </c>
      <c r="AN50" s="38"/>
      <c r="AO50" s="39">
        <f>AN50*AG50</f>
        <v>0</v>
      </c>
      <c r="AP50" s="40"/>
      <c r="AQ50" s="36">
        <v>0.2</v>
      </c>
      <c r="AR50" s="37">
        <f t="shared" si="290"/>
        <v>-27078.947368421053</v>
      </c>
      <c r="AS50" s="38">
        <v>1</v>
      </c>
      <c r="AT50" s="39">
        <f>AS50*AR50</f>
        <v>-27078.947368421053</v>
      </c>
      <c r="AU50" s="38"/>
      <c r="AV50" s="39">
        <f>AU50*AR50</f>
        <v>0</v>
      </c>
      <c r="AW50" s="38"/>
      <c r="AX50" s="39">
        <f>AW50*AR50</f>
        <v>0</v>
      </c>
      <c r="AY50" s="38"/>
      <c r="AZ50" s="39">
        <f>AY50*AR50</f>
        <v>0</v>
      </c>
      <c r="BA50" s="40"/>
      <c r="BB50" s="36"/>
      <c r="BC50" s="37">
        <f t="shared" si="291"/>
        <v>0</v>
      </c>
      <c r="BD50" s="38"/>
      <c r="BE50" s="39">
        <f>BD50*BC50</f>
        <v>0</v>
      </c>
      <c r="BF50" s="38"/>
      <c r="BG50" s="39">
        <f>BF50*BC50</f>
        <v>0</v>
      </c>
      <c r="BH50" s="38"/>
      <c r="BI50" s="39">
        <f>BH50*BC50</f>
        <v>0</v>
      </c>
      <c r="BJ50" s="38"/>
      <c r="BK50" s="39">
        <f>BJ50*BC50</f>
        <v>0</v>
      </c>
      <c r="BL50" s="40"/>
      <c r="BM50" s="36"/>
      <c r="BN50" s="37">
        <f t="shared" si="292"/>
        <v>0</v>
      </c>
      <c r="BO50" s="38"/>
      <c r="BP50" s="39">
        <f>BO50*BN50</f>
        <v>0</v>
      </c>
      <c r="BQ50" s="38"/>
      <c r="BR50" s="39">
        <f>BQ50*BN50</f>
        <v>0</v>
      </c>
      <c r="BS50" s="38"/>
      <c r="BT50" s="39">
        <f>BS50*BN50</f>
        <v>0</v>
      </c>
      <c r="BU50" s="38"/>
      <c r="BV50" s="39">
        <f>BU50*BN50</f>
        <v>0</v>
      </c>
      <c r="BW50" s="40"/>
      <c r="BX50" s="36"/>
      <c r="BY50" s="37">
        <f t="shared" si="293"/>
        <v>0</v>
      </c>
      <c r="BZ50" s="38"/>
      <c r="CA50" s="39">
        <f>BZ50*BY50</f>
        <v>0</v>
      </c>
      <c r="CB50" s="38"/>
      <c r="CC50" s="39">
        <f>CB50*BY50</f>
        <v>0</v>
      </c>
      <c r="CD50" s="38"/>
      <c r="CE50" s="39">
        <f>CD50*BY50</f>
        <v>0</v>
      </c>
      <c r="CF50" s="38"/>
      <c r="CG50" s="39">
        <f>CF50*BY50</f>
        <v>0</v>
      </c>
      <c r="CH50" s="40"/>
      <c r="CI50" s="36"/>
      <c r="CJ50" s="37">
        <f t="shared" si="294"/>
        <v>0</v>
      </c>
      <c r="CK50" s="38"/>
      <c r="CL50" s="39">
        <f>CK50*CJ50</f>
        <v>0</v>
      </c>
      <c r="CM50" s="38"/>
      <c r="CN50" s="39">
        <f>CM50*CJ50</f>
        <v>0</v>
      </c>
      <c r="CO50" s="38"/>
      <c r="CP50" s="39">
        <f>CO50*CJ50</f>
        <v>0</v>
      </c>
      <c r="CQ50" s="38"/>
      <c r="CR50" s="39">
        <f>CQ50*CJ50</f>
        <v>0</v>
      </c>
      <c r="CS50" s="41">
        <f t="shared" si="295"/>
        <v>-135394.73684210525</v>
      </c>
      <c r="CT50" s="41">
        <f t="shared" si="296"/>
        <v>-135394.73684210528</v>
      </c>
      <c r="CU50" s="41" t="e">
        <f>M50+O50+Q50+S50+#REF!+X50+Z50+AB50+AD50+#REF!+AI50+AK50+AM50+AO50+#REF!+AT50+AV50+AX50+AZ50+#REF!+BE50+BG50+BI50+BK50+#REF!+BP50+BR50+BT50+BV50+#REF!+CA50+CC50+CE50+CG50+#REF!+CL50+CN50+CP50+CR50+#REF!</f>
        <v>#REF!</v>
      </c>
      <c r="CV50" s="16" t="e">
        <f>IF(AND(CS50=CT50,CT50=CU50,CS50=CU50),0,1)</f>
        <v>#REF!</v>
      </c>
    </row>
    <row r="51" spans="1:100" x14ac:dyDescent="0.25">
      <c r="C51" s="45"/>
      <c r="D51" s="53"/>
      <c r="E51" s="50"/>
      <c r="F51" s="34">
        <v>0</v>
      </c>
      <c r="G51" s="40"/>
      <c r="H51" s="162">
        <v>0</v>
      </c>
      <c r="I51" s="40"/>
      <c r="J51" s="36"/>
      <c r="K51" s="37">
        <f t="shared" si="287"/>
        <v>0</v>
      </c>
      <c r="L51" s="38"/>
      <c r="M51" s="39">
        <f>L51*K51</f>
        <v>0</v>
      </c>
      <c r="N51" s="38"/>
      <c r="O51" s="39">
        <f>N51*K51</f>
        <v>0</v>
      </c>
      <c r="P51" s="38"/>
      <c r="Q51" s="39">
        <f>P51*K51</f>
        <v>0</v>
      </c>
      <c r="R51" s="38"/>
      <c r="S51" s="39">
        <f>R51*K51</f>
        <v>0</v>
      </c>
      <c r="T51" s="40"/>
      <c r="U51" s="36"/>
      <c r="V51" s="37">
        <f t="shared" si="288"/>
        <v>0</v>
      </c>
      <c r="W51" s="38"/>
      <c r="X51" s="39">
        <f>W51*V51</f>
        <v>0</v>
      </c>
      <c r="Y51" s="38"/>
      <c r="Z51" s="39">
        <f>Y51*V51</f>
        <v>0</v>
      </c>
      <c r="AA51" s="38"/>
      <c r="AB51" s="39">
        <f>AA51*V51</f>
        <v>0</v>
      </c>
      <c r="AC51" s="38"/>
      <c r="AD51" s="39">
        <f>AC51*V51</f>
        <v>0</v>
      </c>
      <c r="AE51" s="40"/>
      <c r="AF51" s="36"/>
      <c r="AG51" s="37">
        <f t="shared" si="289"/>
        <v>0</v>
      </c>
      <c r="AH51" s="38"/>
      <c r="AI51" s="39">
        <f>AH51*AG51</f>
        <v>0</v>
      </c>
      <c r="AJ51" s="38"/>
      <c r="AK51" s="39">
        <f>AJ51*AG51</f>
        <v>0</v>
      </c>
      <c r="AL51" s="38"/>
      <c r="AM51" s="39">
        <f>AL51*AG51</f>
        <v>0</v>
      </c>
      <c r="AN51" s="38"/>
      <c r="AO51" s="39">
        <f>AN51*AG51</f>
        <v>0</v>
      </c>
      <c r="AP51" s="40"/>
      <c r="AQ51" s="36"/>
      <c r="AR51" s="37">
        <f t="shared" si="290"/>
        <v>0</v>
      </c>
      <c r="AS51" s="38"/>
      <c r="AT51" s="39">
        <f>AS51*AR51</f>
        <v>0</v>
      </c>
      <c r="AU51" s="38"/>
      <c r="AV51" s="39">
        <f>AU51*AR51</f>
        <v>0</v>
      </c>
      <c r="AW51" s="38"/>
      <c r="AX51" s="39">
        <f>AW51*AR51</f>
        <v>0</v>
      </c>
      <c r="AY51" s="38"/>
      <c r="AZ51" s="39">
        <f>AY51*AR51</f>
        <v>0</v>
      </c>
      <c r="BA51" s="40"/>
      <c r="BB51" s="36"/>
      <c r="BC51" s="37">
        <f t="shared" si="291"/>
        <v>0</v>
      </c>
      <c r="BD51" s="38"/>
      <c r="BE51" s="39">
        <f>BD51*BC51</f>
        <v>0</v>
      </c>
      <c r="BF51" s="38"/>
      <c r="BG51" s="39">
        <f>BF51*BC51</f>
        <v>0</v>
      </c>
      <c r="BH51" s="38"/>
      <c r="BI51" s="39">
        <f>BH51*BC51</f>
        <v>0</v>
      </c>
      <c r="BJ51" s="38"/>
      <c r="BK51" s="39">
        <f>BJ51*BC51</f>
        <v>0</v>
      </c>
      <c r="BL51" s="40"/>
      <c r="BM51" s="36"/>
      <c r="BN51" s="37">
        <f t="shared" si="292"/>
        <v>0</v>
      </c>
      <c r="BO51" s="38"/>
      <c r="BP51" s="39">
        <f>BO51*BN51</f>
        <v>0</v>
      </c>
      <c r="BQ51" s="38"/>
      <c r="BR51" s="39">
        <f>BQ51*BN51</f>
        <v>0</v>
      </c>
      <c r="BS51" s="38"/>
      <c r="BT51" s="39">
        <f>BS51*BN51</f>
        <v>0</v>
      </c>
      <c r="BU51" s="38"/>
      <c r="BV51" s="39">
        <f>BU51*BN51</f>
        <v>0</v>
      </c>
      <c r="BW51" s="40"/>
      <c r="BX51" s="36"/>
      <c r="BY51" s="37">
        <f t="shared" si="293"/>
        <v>0</v>
      </c>
      <c r="BZ51" s="38"/>
      <c r="CA51" s="39">
        <f>BZ51*BY51</f>
        <v>0</v>
      </c>
      <c r="CB51" s="38"/>
      <c r="CC51" s="39">
        <f>CB51*BY51</f>
        <v>0</v>
      </c>
      <c r="CD51" s="38"/>
      <c r="CE51" s="39">
        <f>CD51*BY51</f>
        <v>0</v>
      </c>
      <c r="CF51" s="38"/>
      <c r="CG51" s="39">
        <f>CF51*BY51</f>
        <v>0</v>
      </c>
      <c r="CH51" s="40"/>
      <c r="CI51" s="36"/>
      <c r="CJ51" s="37">
        <f t="shared" si="294"/>
        <v>0</v>
      </c>
      <c r="CK51" s="38"/>
      <c r="CL51" s="39">
        <f>CK51*CJ51</f>
        <v>0</v>
      </c>
      <c r="CM51" s="38"/>
      <c r="CN51" s="39">
        <f>CM51*CJ51</f>
        <v>0</v>
      </c>
      <c r="CO51" s="38"/>
      <c r="CP51" s="39">
        <f>CO51*CJ51</f>
        <v>0</v>
      </c>
      <c r="CQ51" s="38"/>
      <c r="CR51" s="39">
        <f>CQ51*CJ51</f>
        <v>0</v>
      </c>
      <c r="CS51" s="41">
        <f t="shared" si="295"/>
        <v>0</v>
      </c>
      <c r="CT51" s="41">
        <f t="shared" si="296"/>
        <v>0</v>
      </c>
      <c r="CU51" s="41" t="e">
        <f>M51+O51+Q51+S51+#REF!+X51+Z51+AB51+AD51+#REF!+AI51+AK51+AM51+AO51+#REF!+AT51+AV51+AX51+AZ51+#REF!+BE51+BG51+BI51+BK51+#REF!+BP51+BR51+BT51+BV51+#REF!+CA51+CC51+CE51+CG51+#REF!+CL51+CN51+CP51+CR51+#REF!</f>
        <v>#REF!</v>
      </c>
      <c r="CV51" s="16" t="e">
        <f>IF(AND(CS51=CT51,CT51=CU51,CS51=CU51),0,1)</f>
        <v>#REF!</v>
      </c>
    </row>
    <row r="52" spans="1:100" x14ac:dyDescent="0.25">
      <c r="A52" s="1" t="s">
        <v>196</v>
      </c>
      <c r="C52" s="45"/>
      <c r="D52" s="53"/>
      <c r="E52" s="50"/>
      <c r="F52" s="34">
        <v>0</v>
      </c>
      <c r="G52" s="40"/>
      <c r="H52" s="162">
        <v>0</v>
      </c>
      <c r="I52" s="40"/>
      <c r="J52" s="36"/>
      <c r="K52" s="37">
        <f t="shared" si="287"/>
        <v>0</v>
      </c>
      <c r="L52" s="38"/>
      <c r="M52" s="39">
        <f t="shared" ref="M52:M54" si="297">L52*K52</f>
        <v>0</v>
      </c>
      <c r="N52" s="38"/>
      <c r="O52" s="39">
        <f t="shared" ref="O52:O54" si="298">N52*K52</f>
        <v>0</v>
      </c>
      <c r="P52" s="38"/>
      <c r="Q52" s="39">
        <f t="shared" ref="Q52:Q54" si="299">P52*K52</f>
        <v>0</v>
      </c>
      <c r="R52" s="38"/>
      <c r="S52" s="39">
        <f t="shared" ref="S52:S54" si="300">R52*K52</f>
        <v>0</v>
      </c>
      <c r="T52" s="40"/>
      <c r="U52" s="36"/>
      <c r="V52" s="37">
        <f t="shared" si="288"/>
        <v>0</v>
      </c>
      <c r="W52" s="38"/>
      <c r="X52" s="39">
        <f t="shared" ref="X52:X54" si="301">W52*V52</f>
        <v>0</v>
      </c>
      <c r="Y52" s="38"/>
      <c r="Z52" s="39">
        <f t="shared" ref="Z52:Z54" si="302">Y52*V52</f>
        <v>0</v>
      </c>
      <c r="AA52" s="38"/>
      <c r="AB52" s="39">
        <f t="shared" ref="AB52:AB54" si="303">AA52*V52</f>
        <v>0</v>
      </c>
      <c r="AC52" s="38"/>
      <c r="AD52" s="39">
        <f t="shared" ref="AD52:AD54" si="304">AC52*V52</f>
        <v>0</v>
      </c>
      <c r="AE52" s="40"/>
      <c r="AF52" s="36"/>
      <c r="AG52" s="37">
        <f t="shared" si="289"/>
        <v>0</v>
      </c>
      <c r="AH52" s="38"/>
      <c r="AI52" s="39">
        <f t="shared" ref="AI52:AI54" si="305">AH52*AG52</f>
        <v>0</v>
      </c>
      <c r="AJ52" s="38"/>
      <c r="AK52" s="39">
        <f t="shared" ref="AK52:AK54" si="306">AJ52*AG52</f>
        <v>0</v>
      </c>
      <c r="AL52" s="38"/>
      <c r="AM52" s="39">
        <f t="shared" ref="AM52:AM54" si="307">AL52*AG52</f>
        <v>0</v>
      </c>
      <c r="AN52" s="38"/>
      <c r="AO52" s="39">
        <f t="shared" ref="AO52:AO54" si="308">AN52*AG52</f>
        <v>0</v>
      </c>
      <c r="AP52" s="40"/>
      <c r="AQ52" s="36"/>
      <c r="AR52" s="37">
        <f t="shared" si="290"/>
        <v>0</v>
      </c>
      <c r="AS52" s="38"/>
      <c r="AT52" s="39">
        <f t="shared" ref="AT52:AT54" si="309">AS52*AR52</f>
        <v>0</v>
      </c>
      <c r="AU52" s="38"/>
      <c r="AV52" s="39">
        <f t="shared" ref="AV52:AV54" si="310">AU52*AR52</f>
        <v>0</v>
      </c>
      <c r="AW52" s="38"/>
      <c r="AX52" s="39">
        <f t="shared" ref="AX52:AX54" si="311">AW52*AR52</f>
        <v>0</v>
      </c>
      <c r="AY52" s="38"/>
      <c r="AZ52" s="39">
        <f t="shared" ref="AZ52:AZ54" si="312">AY52*AR52</f>
        <v>0</v>
      </c>
      <c r="BA52" s="40"/>
      <c r="BB52" s="36"/>
      <c r="BC52" s="37">
        <f t="shared" si="291"/>
        <v>0</v>
      </c>
      <c r="BD52" s="38"/>
      <c r="BE52" s="39">
        <f t="shared" ref="BE52:BE54" si="313">BD52*BC52</f>
        <v>0</v>
      </c>
      <c r="BF52" s="38"/>
      <c r="BG52" s="39">
        <f t="shared" ref="BG52:BG54" si="314">BF52*BC52</f>
        <v>0</v>
      </c>
      <c r="BH52" s="38"/>
      <c r="BI52" s="39">
        <f t="shared" ref="BI52:BI54" si="315">BH52*BC52</f>
        <v>0</v>
      </c>
      <c r="BJ52" s="38"/>
      <c r="BK52" s="39">
        <f t="shared" ref="BK52:BK54" si="316">BJ52*BC52</f>
        <v>0</v>
      </c>
      <c r="BL52" s="40"/>
      <c r="BM52" s="36"/>
      <c r="BN52" s="37">
        <f t="shared" si="292"/>
        <v>0</v>
      </c>
      <c r="BO52" s="38"/>
      <c r="BP52" s="39">
        <f t="shared" ref="BP52:BP54" si="317">BO52*BN52</f>
        <v>0</v>
      </c>
      <c r="BQ52" s="38"/>
      <c r="BR52" s="39">
        <f t="shared" ref="BR52:BR54" si="318">BQ52*BN52</f>
        <v>0</v>
      </c>
      <c r="BS52" s="38"/>
      <c r="BT52" s="39">
        <f t="shared" ref="BT52:BT54" si="319">BS52*BN52</f>
        <v>0</v>
      </c>
      <c r="BU52" s="38"/>
      <c r="BV52" s="39">
        <f t="shared" ref="BV52:BV54" si="320">BU52*BN52</f>
        <v>0</v>
      </c>
      <c r="BW52" s="40"/>
      <c r="BX52" s="36"/>
      <c r="BY52" s="37">
        <f t="shared" si="293"/>
        <v>0</v>
      </c>
      <c r="BZ52" s="38"/>
      <c r="CA52" s="39">
        <f t="shared" ref="CA52:CA54" si="321">BZ52*BY52</f>
        <v>0</v>
      </c>
      <c r="CB52" s="38"/>
      <c r="CC52" s="39">
        <f t="shared" ref="CC52:CC54" si="322">CB52*BY52</f>
        <v>0</v>
      </c>
      <c r="CD52" s="38"/>
      <c r="CE52" s="39">
        <f t="shared" ref="CE52:CE54" si="323">CD52*BY52</f>
        <v>0</v>
      </c>
      <c r="CF52" s="38"/>
      <c r="CG52" s="39">
        <f t="shared" ref="CG52:CG54" si="324">CF52*BY52</f>
        <v>0</v>
      </c>
      <c r="CH52" s="40"/>
      <c r="CI52" s="36"/>
      <c r="CJ52" s="37">
        <f t="shared" si="294"/>
        <v>0</v>
      </c>
      <c r="CK52" s="38"/>
      <c r="CL52" s="39">
        <f t="shared" ref="CL52:CL54" si="325">CK52*CJ52</f>
        <v>0</v>
      </c>
      <c r="CM52" s="38"/>
      <c r="CN52" s="39">
        <f t="shared" ref="CN52:CN54" si="326">CM52*CJ52</f>
        <v>0</v>
      </c>
      <c r="CO52" s="38"/>
      <c r="CP52" s="39">
        <f t="shared" ref="CP52:CP54" si="327">CO52*CJ52</f>
        <v>0</v>
      </c>
      <c r="CQ52" s="38"/>
      <c r="CR52" s="39">
        <f t="shared" ref="CR52:CR54" si="328">CQ52*CJ52</f>
        <v>0</v>
      </c>
      <c r="CS52" s="41">
        <f t="shared" si="295"/>
        <v>0</v>
      </c>
      <c r="CT52" s="41">
        <f t="shared" si="296"/>
        <v>0</v>
      </c>
      <c r="CU52" s="41" t="e">
        <f>M52+O52+Q52+S52+#REF!+X52+Z52+AB52+AD52+#REF!+AI52+AK52+AM52+AO52+#REF!+AT52+AV52+AX52+AZ52+#REF!+BE52+BG52+BI52+BK52+#REF!+BP52+BR52+BT52+BV52+#REF!+CA52+CC52+CE52+CG52+#REF!+CL52+CN52+CP52+CR52+#REF!</f>
        <v>#REF!</v>
      </c>
      <c r="CV52" s="16" t="e">
        <f t="shared" ref="CV52:CV54" si="329">IF(AND(CS52=CT52,CT52=CU52,CS52=CU52),0,1)</f>
        <v>#REF!</v>
      </c>
    </row>
    <row r="53" spans="1:100" x14ac:dyDescent="0.25">
      <c r="B53" s="48" t="s">
        <v>32</v>
      </c>
      <c r="C53" s="42" t="s">
        <v>33</v>
      </c>
      <c r="D53" s="53">
        <v>750</v>
      </c>
      <c r="E53" s="191">
        <f>H53*$K$106</f>
        <v>244.89599999999999</v>
      </c>
      <c r="F53" s="94">
        <v>180000</v>
      </c>
      <c r="G53" s="40"/>
      <c r="H53" s="162">
        <v>240</v>
      </c>
      <c r="I53" s="40"/>
      <c r="J53" s="36"/>
      <c r="K53" s="37">
        <f t="shared" si="287"/>
        <v>0</v>
      </c>
      <c r="L53" s="38"/>
      <c r="M53" s="39">
        <f t="shared" si="297"/>
        <v>0</v>
      </c>
      <c r="N53" s="38"/>
      <c r="O53" s="39">
        <f t="shared" si="298"/>
        <v>0</v>
      </c>
      <c r="P53" s="38"/>
      <c r="Q53" s="39">
        <f t="shared" si="299"/>
        <v>0</v>
      </c>
      <c r="R53" s="38"/>
      <c r="S53" s="39">
        <f t="shared" si="300"/>
        <v>0</v>
      </c>
      <c r="T53" s="40"/>
      <c r="U53" s="36"/>
      <c r="V53" s="37">
        <f t="shared" si="288"/>
        <v>0</v>
      </c>
      <c r="W53" s="38"/>
      <c r="X53" s="39">
        <f t="shared" si="301"/>
        <v>0</v>
      </c>
      <c r="Y53" s="38"/>
      <c r="Z53" s="39">
        <f t="shared" si="302"/>
        <v>0</v>
      </c>
      <c r="AA53" s="38"/>
      <c r="AB53" s="39">
        <f t="shared" si="303"/>
        <v>0</v>
      </c>
      <c r="AC53" s="38"/>
      <c r="AD53" s="39">
        <f t="shared" si="304"/>
        <v>0</v>
      </c>
      <c r="AE53" s="40"/>
      <c r="AF53" s="36">
        <v>0.8</v>
      </c>
      <c r="AG53" s="37">
        <f t="shared" si="289"/>
        <v>144000</v>
      </c>
      <c r="AH53" s="38"/>
      <c r="AI53" s="39">
        <f t="shared" si="305"/>
        <v>0</v>
      </c>
      <c r="AJ53" s="38">
        <v>1</v>
      </c>
      <c r="AK53" s="39">
        <f t="shared" si="306"/>
        <v>144000</v>
      </c>
      <c r="AL53" s="38"/>
      <c r="AM53" s="39">
        <f t="shared" si="307"/>
        <v>0</v>
      </c>
      <c r="AN53" s="38"/>
      <c r="AO53" s="39">
        <f t="shared" si="308"/>
        <v>0</v>
      </c>
      <c r="AP53" s="40"/>
      <c r="AQ53" s="36">
        <v>0.2</v>
      </c>
      <c r="AR53" s="37">
        <f t="shared" si="290"/>
        <v>36000</v>
      </c>
      <c r="AS53" s="38"/>
      <c r="AT53" s="39">
        <f t="shared" si="309"/>
        <v>0</v>
      </c>
      <c r="AU53" s="38">
        <v>1</v>
      </c>
      <c r="AV53" s="39">
        <f t="shared" si="310"/>
        <v>36000</v>
      </c>
      <c r="AW53" s="38"/>
      <c r="AX53" s="39">
        <f t="shared" si="311"/>
        <v>0</v>
      </c>
      <c r="AY53" s="38"/>
      <c r="AZ53" s="39">
        <f t="shared" si="312"/>
        <v>0</v>
      </c>
      <c r="BA53" s="40"/>
      <c r="BB53" s="36"/>
      <c r="BC53" s="37">
        <f t="shared" si="291"/>
        <v>0</v>
      </c>
      <c r="BD53" s="38"/>
      <c r="BE53" s="39">
        <f t="shared" si="313"/>
        <v>0</v>
      </c>
      <c r="BF53" s="38"/>
      <c r="BG53" s="39">
        <f t="shared" si="314"/>
        <v>0</v>
      </c>
      <c r="BH53" s="38"/>
      <c r="BI53" s="39">
        <f t="shared" si="315"/>
        <v>0</v>
      </c>
      <c r="BJ53" s="38"/>
      <c r="BK53" s="39">
        <f t="shared" si="316"/>
        <v>0</v>
      </c>
      <c r="BL53" s="40"/>
      <c r="BM53" s="36"/>
      <c r="BN53" s="37">
        <f t="shared" si="292"/>
        <v>0</v>
      </c>
      <c r="BO53" s="38"/>
      <c r="BP53" s="39">
        <f t="shared" si="317"/>
        <v>0</v>
      </c>
      <c r="BQ53" s="38"/>
      <c r="BR53" s="39">
        <f t="shared" si="318"/>
        <v>0</v>
      </c>
      <c r="BS53" s="38"/>
      <c r="BT53" s="39">
        <f t="shared" si="319"/>
        <v>0</v>
      </c>
      <c r="BU53" s="38"/>
      <c r="BV53" s="39">
        <f t="shared" si="320"/>
        <v>0</v>
      </c>
      <c r="BW53" s="40"/>
      <c r="BX53" s="36"/>
      <c r="BY53" s="37">
        <f t="shared" si="293"/>
        <v>0</v>
      </c>
      <c r="BZ53" s="38"/>
      <c r="CA53" s="39">
        <f t="shared" si="321"/>
        <v>0</v>
      </c>
      <c r="CB53" s="38"/>
      <c r="CC53" s="39">
        <f t="shared" si="322"/>
        <v>0</v>
      </c>
      <c r="CD53" s="38"/>
      <c r="CE53" s="39">
        <f t="shared" si="323"/>
        <v>0</v>
      </c>
      <c r="CF53" s="38"/>
      <c r="CG53" s="39">
        <f t="shared" si="324"/>
        <v>0</v>
      </c>
      <c r="CH53" s="40"/>
      <c r="CI53" s="36"/>
      <c r="CJ53" s="37">
        <f t="shared" si="294"/>
        <v>0</v>
      </c>
      <c r="CK53" s="38"/>
      <c r="CL53" s="39">
        <f t="shared" si="325"/>
        <v>0</v>
      </c>
      <c r="CM53" s="38"/>
      <c r="CN53" s="39">
        <f t="shared" si="326"/>
        <v>0</v>
      </c>
      <c r="CO53" s="38"/>
      <c r="CP53" s="39">
        <f t="shared" si="327"/>
        <v>0</v>
      </c>
      <c r="CQ53" s="38"/>
      <c r="CR53" s="39">
        <f t="shared" si="328"/>
        <v>0</v>
      </c>
      <c r="CS53" s="41">
        <f t="shared" si="295"/>
        <v>180000</v>
      </c>
      <c r="CT53" s="41">
        <f t="shared" si="296"/>
        <v>180000</v>
      </c>
      <c r="CU53" s="41" t="e">
        <f>M53+O53+Q53+S53+#REF!+X53+Z53+AB53+AD53+#REF!+AI53+AK53+AM53+AO53+#REF!+AT53+AV53+AX53+AZ53+#REF!+BE53+BG53+BI53+BK53+#REF!+BP53+BR53+BT53+BV53+#REF!+CA53+CC53+CE53+CG53+#REF!+CL53+CN53+CP53+CR53+#REF!</f>
        <v>#REF!</v>
      </c>
      <c r="CV53" s="16" t="e">
        <f t="shared" si="329"/>
        <v>#REF!</v>
      </c>
    </row>
    <row r="54" spans="1:100" x14ac:dyDescent="0.25">
      <c r="B54" s="46" t="s">
        <v>34</v>
      </c>
      <c r="C54" s="42" t="s">
        <v>33</v>
      </c>
      <c r="D54" s="53">
        <v>750</v>
      </c>
      <c r="E54" s="34">
        <f>$K$95</f>
        <v>-108.3695731319762</v>
      </c>
      <c r="F54" s="94">
        <v>-135394.73684210525</v>
      </c>
      <c r="G54" s="40"/>
      <c r="H54" s="162">
        <v>-123.79</v>
      </c>
      <c r="I54" s="40"/>
      <c r="J54" s="36"/>
      <c r="K54" s="37">
        <f t="shared" si="287"/>
        <v>0</v>
      </c>
      <c r="L54" s="38"/>
      <c r="M54" s="39">
        <f t="shared" si="297"/>
        <v>0</v>
      </c>
      <c r="N54" s="38"/>
      <c r="O54" s="39">
        <f t="shared" si="298"/>
        <v>0</v>
      </c>
      <c r="P54" s="38"/>
      <c r="Q54" s="39">
        <f t="shared" si="299"/>
        <v>0</v>
      </c>
      <c r="R54" s="38"/>
      <c r="S54" s="39">
        <f t="shared" si="300"/>
        <v>0</v>
      </c>
      <c r="T54" s="40"/>
      <c r="U54" s="36"/>
      <c r="V54" s="37">
        <f t="shared" si="288"/>
        <v>0</v>
      </c>
      <c r="W54" s="38"/>
      <c r="X54" s="39">
        <f t="shared" si="301"/>
        <v>0</v>
      </c>
      <c r="Y54" s="38"/>
      <c r="Z54" s="39">
        <f t="shared" si="302"/>
        <v>0</v>
      </c>
      <c r="AA54" s="38"/>
      <c r="AB54" s="39">
        <f t="shared" si="303"/>
        <v>0</v>
      </c>
      <c r="AC54" s="38"/>
      <c r="AD54" s="39">
        <f t="shared" si="304"/>
        <v>0</v>
      </c>
      <c r="AE54" s="40"/>
      <c r="AF54" s="36">
        <v>0.8</v>
      </c>
      <c r="AG54" s="37">
        <f t="shared" si="289"/>
        <v>-108315.78947368421</v>
      </c>
      <c r="AH54" s="38"/>
      <c r="AI54" s="39">
        <f t="shared" si="305"/>
        <v>0</v>
      </c>
      <c r="AJ54" s="38">
        <v>1</v>
      </c>
      <c r="AK54" s="39">
        <f t="shared" si="306"/>
        <v>-108315.78947368421</v>
      </c>
      <c r="AL54" s="38"/>
      <c r="AM54" s="39">
        <f t="shared" si="307"/>
        <v>0</v>
      </c>
      <c r="AN54" s="38"/>
      <c r="AO54" s="39">
        <f t="shared" si="308"/>
        <v>0</v>
      </c>
      <c r="AP54" s="40"/>
      <c r="AQ54" s="36">
        <v>0.2</v>
      </c>
      <c r="AR54" s="37">
        <f t="shared" si="290"/>
        <v>-27078.947368421053</v>
      </c>
      <c r="AS54" s="38"/>
      <c r="AT54" s="39">
        <f t="shared" si="309"/>
        <v>0</v>
      </c>
      <c r="AU54" s="38">
        <v>1</v>
      </c>
      <c r="AV54" s="39">
        <f t="shared" si="310"/>
        <v>-27078.947368421053</v>
      </c>
      <c r="AW54" s="38"/>
      <c r="AX54" s="39">
        <f t="shared" si="311"/>
        <v>0</v>
      </c>
      <c r="AY54" s="38"/>
      <c r="AZ54" s="39">
        <f t="shared" si="312"/>
        <v>0</v>
      </c>
      <c r="BA54" s="40"/>
      <c r="BB54" s="36"/>
      <c r="BC54" s="37">
        <f t="shared" si="291"/>
        <v>0</v>
      </c>
      <c r="BD54" s="38"/>
      <c r="BE54" s="39">
        <f t="shared" si="313"/>
        <v>0</v>
      </c>
      <c r="BF54" s="38"/>
      <c r="BG54" s="39">
        <f t="shared" si="314"/>
        <v>0</v>
      </c>
      <c r="BH54" s="38"/>
      <c r="BI54" s="39">
        <f t="shared" si="315"/>
        <v>0</v>
      </c>
      <c r="BJ54" s="38"/>
      <c r="BK54" s="39">
        <f t="shared" si="316"/>
        <v>0</v>
      </c>
      <c r="BL54" s="40"/>
      <c r="BM54" s="36"/>
      <c r="BN54" s="37">
        <f t="shared" si="292"/>
        <v>0</v>
      </c>
      <c r="BO54" s="38"/>
      <c r="BP54" s="39">
        <f t="shared" si="317"/>
        <v>0</v>
      </c>
      <c r="BQ54" s="38"/>
      <c r="BR54" s="39">
        <f t="shared" si="318"/>
        <v>0</v>
      </c>
      <c r="BS54" s="38"/>
      <c r="BT54" s="39">
        <f t="shared" si="319"/>
        <v>0</v>
      </c>
      <c r="BU54" s="38"/>
      <c r="BV54" s="39">
        <f t="shared" si="320"/>
        <v>0</v>
      </c>
      <c r="BW54" s="40"/>
      <c r="BX54" s="36"/>
      <c r="BY54" s="37">
        <f t="shared" si="293"/>
        <v>0</v>
      </c>
      <c r="BZ54" s="38"/>
      <c r="CA54" s="39">
        <f t="shared" si="321"/>
        <v>0</v>
      </c>
      <c r="CB54" s="38"/>
      <c r="CC54" s="39">
        <f t="shared" si="322"/>
        <v>0</v>
      </c>
      <c r="CD54" s="38"/>
      <c r="CE54" s="39">
        <f t="shared" si="323"/>
        <v>0</v>
      </c>
      <c r="CF54" s="38"/>
      <c r="CG54" s="39">
        <f t="shared" si="324"/>
        <v>0</v>
      </c>
      <c r="CH54" s="40"/>
      <c r="CI54" s="36"/>
      <c r="CJ54" s="37">
        <f t="shared" si="294"/>
        <v>0</v>
      </c>
      <c r="CK54" s="38"/>
      <c r="CL54" s="39">
        <f t="shared" si="325"/>
        <v>0</v>
      </c>
      <c r="CM54" s="38"/>
      <c r="CN54" s="39">
        <f t="shared" si="326"/>
        <v>0</v>
      </c>
      <c r="CO54" s="38"/>
      <c r="CP54" s="39">
        <f t="shared" si="327"/>
        <v>0</v>
      </c>
      <c r="CQ54" s="38"/>
      <c r="CR54" s="39">
        <f t="shared" si="328"/>
        <v>0</v>
      </c>
      <c r="CS54" s="41">
        <f t="shared" si="295"/>
        <v>-135394.73684210525</v>
      </c>
      <c r="CT54" s="41">
        <f t="shared" si="296"/>
        <v>-135394.73684210528</v>
      </c>
      <c r="CU54" s="41" t="e">
        <f>M54+O54+Q54+S54+#REF!+X54+Z54+AB54+AD54+#REF!+AI54+AK54+AM54+AO54+#REF!+AT54+AV54+AX54+AZ54+#REF!+BE54+BG54+BI54+BK54+#REF!+BP54+BR54+BT54+BV54+#REF!+CA54+CC54+CE54+CG54+#REF!+CL54+CN54+CP54+CR54+#REF!</f>
        <v>#REF!</v>
      </c>
      <c r="CV54" s="16" t="e">
        <f t="shared" si="329"/>
        <v>#REF!</v>
      </c>
    </row>
    <row r="55" spans="1:100" x14ac:dyDescent="0.25">
      <c r="B55" s="46"/>
      <c r="C55" s="42"/>
      <c r="D55" s="43"/>
      <c r="E55" s="34"/>
      <c r="F55" s="102"/>
      <c r="G55" s="40"/>
      <c r="H55" s="162">
        <v>0</v>
      </c>
      <c r="I55" s="40"/>
      <c r="J55" s="36"/>
      <c r="K55" s="37"/>
      <c r="L55" s="38"/>
      <c r="M55" s="39"/>
      <c r="N55" s="38"/>
      <c r="O55" s="39"/>
      <c r="P55" s="38"/>
      <c r="Q55" s="39"/>
      <c r="R55" s="38"/>
      <c r="S55" s="39"/>
      <c r="T55" s="40"/>
      <c r="U55" s="36"/>
      <c r="V55" s="37"/>
      <c r="W55" s="38"/>
      <c r="X55" s="39"/>
      <c r="Y55" s="38"/>
      <c r="Z55" s="39"/>
      <c r="AA55" s="38"/>
      <c r="AB55" s="39"/>
      <c r="AC55" s="38"/>
      <c r="AD55" s="39"/>
      <c r="AE55" s="40"/>
      <c r="AF55" s="36"/>
      <c r="AG55" s="37"/>
      <c r="AH55" s="38"/>
      <c r="AI55" s="39"/>
      <c r="AJ55" s="38"/>
      <c r="AK55" s="39"/>
      <c r="AL55" s="38"/>
      <c r="AM55" s="39"/>
      <c r="AN55" s="38"/>
      <c r="AO55" s="39"/>
      <c r="AP55" s="40"/>
      <c r="AQ55" s="36"/>
      <c r="AR55" s="37"/>
      <c r="AS55" s="38"/>
      <c r="AT55" s="39"/>
      <c r="AU55" s="38"/>
      <c r="AV55" s="39"/>
      <c r="AW55" s="38"/>
      <c r="AX55" s="39"/>
      <c r="AY55" s="38"/>
      <c r="AZ55" s="39"/>
      <c r="BA55" s="40"/>
      <c r="BB55" s="36"/>
      <c r="BC55" s="37"/>
      <c r="BD55" s="38"/>
      <c r="BE55" s="39"/>
      <c r="BF55" s="38"/>
      <c r="BG55" s="39"/>
      <c r="BH55" s="38"/>
      <c r="BI55" s="39"/>
      <c r="BJ55" s="38"/>
      <c r="BK55" s="39"/>
      <c r="BL55" s="40"/>
      <c r="BM55" s="36"/>
      <c r="BN55" s="37"/>
      <c r="BO55" s="38"/>
      <c r="BP55" s="39"/>
      <c r="BQ55" s="38"/>
      <c r="BR55" s="39"/>
      <c r="BS55" s="38"/>
      <c r="BT55" s="39"/>
      <c r="BU55" s="38"/>
      <c r="BV55" s="39"/>
      <c r="BW55" s="40"/>
      <c r="BX55" s="36"/>
      <c r="BY55" s="37"/>
      <c r="BZ55" s="38"/>
      <c r="CA55" s="39"/>
      <c r="CB55" s="38"/>
      <c r="CC55" s="39"/>
      <c r="CD55" s="38"/>
      <c r="CE55" s="39"/>
      <c r="CF55" s="38"/>
      <c r="CG55" s="39"/>
      <c r="CH55" s="40"/>
      <c r="CI55" s="36"/>
      <c r="CJ55" s="37"/>
      <c r="CK55" s="38"/>
      <c r="CL55" s="39"/>
      <c r="CM55" s="38"/>
      <c r="CN55" s="39"/>
      <c r="CO55" s="38"/>
      <c r="CP55" s="39"/>
      <c r="CQ55" s="38"/>
      <c r="CR55" s="39"/>
      <c r="CS55" s="41"/>
      <c r="CT55" s="41"/>
      <c r="CU55" s="41"/>
      <c r="CV55" s="16"/>
    </row>
    <row r="56" spans="1:100" x14ac:dyDescent="0.25">
      <c r="A56" s="1" t="s">
        <v>197</v>
      </c>
      <c r="C56" s="45"/>
      <c r="D56" s="43"/>
      <c r="E56" s="50"/>
      <c r="F56" s="102">
        <f t="shared" ref="F56" si="330">D56*E56</f>
        <v>0</v>
      </c>
      <c r="G56" s="40"/>
      <c r="H56" s="162">
        <v>0</v>
      </c>
      <c r="I56" s="40"/>
      <c r="J56" s="36"/>
      <c r="K56" s="37">
        <f t="shared" ref="K56:K78" si="331">J56*$F56</f>
        <v>0</v>
      </c>
      <c r="L56" s="38"/>
      <c r="M56" s="39">
        <f t="shared" ref="M56:M78" si="332">L56*K56</f>
        <v>0</v>
      </c>
      <c r="N56" s="38"/>
      <c r="O56" s="39">
        <f t="shared" ref="O56:O78" si="333">N56*K56</f>
        <v>0</v>
      </c>
      <c r="P56" s="38"/>
      <c r="Q56" s="39">
        <f t="shared" ref="Q56:Q78" si="334">P56*K56</f>
        <v>0</v>
      </c>
      <c r="R56" s="38"/>
      <c r="S56" s="39">
        <f t="shared" ref="S56:S78" si="335">R56*K56</f>
        <v>0</v>
      </c>
      <c r="T56" s="40"/>
      <c r="U56" s="36"/>
      <c r="V56" s="37">
        <f t="shared" ref="V56:V78" si="336">U56*$F56</f>
        <v>0</v>
      </c>
      <c r="W56" s="38"/>
      <c r="X56" s="39">
        <f t="shared" ref="X56:X78" si="337">W56*V56</f>
        <v>0</v>
      </c>
      <c r="Y56" s="38"/>
      <c r="Z56" s="39">
        <f t="shared" ref="Z56:Z78" si="338">Y56*V56</f>
        <v>0</v>
      </c>
      <c r="AA56" s="38"/>
      <c r="AB56" s="39">
        <f t="shared" ref="AB56:AB78" si="339">AA56*V56</f>
        <v>0</v>
      </c>
      <c r="AC56" s="38"/>
      <c r="AD56" s="39">
        <f t="shared" ref="AD56:AD78" si="340">AC56*V56</f>
        <v>0</v>
      </c>
      <c r="AE56" s="40"/>
      <c r="AF56" s="36"/>
      <c r="AG56" s="37">
        <f t="shared" ref="AG56:AG78" si="341">AF56*$F56</f>
        <v>0</v>
      </c>
      <c r="AH56" s="38"/>
      <c r="AI56" s="39">
        <f t="shared" ref="AI56:AI78" si="342">AH56*AG56</f>
        <v>0</v>
      </c>
      <c r="AJ56" s="38"/>
      <c r="AK56" s="39">
        <f t="shared" ref="AK56:AK78" si="343">AJ56*AG56</f>
        <v>0</v>
      </c>
      <c r="AL56" s="38"/>
      <c r="AM56" s="39">
        <f t="shared" ref="AM56:AM78" si="344">AL56*AG56</f>
        <v>0</v>
      </c>
      <c r="AN56" s="38"/>
      <c r="AO56" s="39">
        <f t="shared" ref="AO56:AO78" si="345">AN56*AG56</f>
        <v>0</v>
      </c>
      <c r="AP56" s="40"/>
      <c r="AQ56" s="36"/>
      <c r="AR56" s="37">
        <f t="shared" ref="AR56:AR78" si="346">AQ56*$F56</f>
        <v>0</v>
      </c>
      <c r="AS56" s="38"/>
      <c r="AT56" s="39">
        <f t="shared" ref="AT56:AT78" si="347">AS56*AR56</f>
        <v>0</v>
      </c>
      <c r="AU56" s="38"/>
      <c r="AV56" s="39">
        <f t="shared" ref="AV56:AV78" si="348">AU56*AR56</f>
        <v>0</v>
      </c>
      <c r="AW56" s="38"/>
      <c r="AX56" s="39">
        <f t="shared" ref="AX56:AX78" si="349">AW56*AR56</f>
        <v>0</v>
      </c>
      <c r="AY56" s="38"/>
      <c r="AZ56" s="39">
        <f t="shared" ref="AZ56:AZ78" si="350">AY56*AR56</f>
        <v>0</v>
      </c>
      <c r="BA56" s="40"/>
      <c r="BB56" s="36"/>
      <c r="BC56" s="37">
        <f t="shared" ref="BC56:BC78" si="351">BB56*$F56</f>
        <v>0</v>
      </c>
      <c r="BD56" s="38"/>
      <c r="BE56" s="39">
        <f t="shared" ref="BE56:BE78" si="352">BD56*BC56</f>
        <v>0</v>
      </c>
      <c r="BF56" s="38"/>
      <c r="BG56" s="39">
        <f t="shared" ref="BG56:BG78" si="353">BF56*BC56</f>
        <v>0</v>
      </c>
      <c r="BH56" s="38"/>
      <c r="BI56" s="39">
        <f t="shared" ref="BI56:BI78" si="354">BH56*BC56</f>
        <v>0</v>
      </c>
      <c r="BJ56" s="38"/>
      <c r="BK56" s="39">
        <f t="shared" ref="BK56:BK78" si="355">BJ56*BC56</f>
        <v>0</v>
      </c>
      <c r="BL56" s="40"/>
      <c r="BM56" s="36"/>
      <c r="BN56" s="37">
        <f t="shared" ref="BN56:BN78" si="356">BM56*$F56</f>
        <v>0</v>
      </c>
      <c r="BO56" s="38"/>
      <c r="BP56" s="39">
        <f t="shared" ref="BP56:BP78" si="357">BO56*BN56</f>
        <v>0</v>
      </c>
      <c r="BQ56" s="38"/>
      <c r="BR56" s="39">
        <f t="shared" ref="BR56:BR78" si="358">BQ56*BN56</f>
        <v>0</v>
      </c>
      <c r="BS56" s="38"/>
      <c r="BT56" s="39">
        <f t="shared" ref="BT56:BT78" si="359">BS56*BN56</f>
        <v>0</v>
      </c>
      <c r="BU56" s="38"/>
      <c r="BV56" s="39">
        <f t="shared" ref="BV56:BV78" si="360">BU56*BN56</f>
        <v>0</v>
      </c>
      <c r="BW56" s="40"/>
      <c r="BX56" s="36"/>
      <c r="BY56" s="37">
        <f t="shared" ref="BY56:BY78" si="361">BX56*$F56</f>
        <v>0</v>
      </c>
      <c r="BZ56" s="38"/>
      <c r="CA56" s="39">
        <f t="shared" ref="CA56:CA78" si="362">BZ56*BY56</f>
        <v>0</v>
      </c>
      <c r="CB56" s="38"/>
      <c r="CC56" s="39">
        <f t="shared" ref="CC56:CC78" si="363">CB56*BY56</f>
        <v>0</v>
      </c>
      <c r="CD56" s="38"/>
      <c r="CE56" s="39">
        <f t="shared" ref="CE56:CE78" si="364">CD56*BY56</f>
        <v>0</v>
      </c>
      <c r="CF56" s="38"/>
      <c r="CG56" s="39">
        <f t="shared" ref="CG56:CG78" si="365">CF56*BY56</f>
        <v>0</v>
      </c>
      <c r="CH56" s="40"/>
      <c r="CI56" s="36"/>
      <c r="CJ56" s="37">
        <f t="shared" ref="CJ56:CJ78" si="366">CI56*$F56</f>
        <v>0</v>
      </c>
      <c r="CK56" s="38"/>
      <c r="CL56" s="39">
        <f t="shared" ref="CL56:CL78" si="367">CK56*CJ56</f>
        <v>0</v>
      </c>
      <c r="CM56" s="38"/>
      <c r="CN56" s="39">
        <f t="shared" ref="CN56:CN78" si="368">CM56*CJ56</f>
        <v>0</v>
      </c>
      <c r="CO56" s="38"/>
      <c r="CP56" s="39">
        <f t="shared" ref="CP56:CP78" si="369">CO56*CJ56</f>
        <v>0</v>
      </c>
      <c r="CQ56" s="38"/>
      <c r="CR56" s="39">
        <f t="shared" ref="CR56:CR78" si="370">CQ56*CJ56</f>
        <v>0</v>
      </c>
      <c r="CS56" s="41">
        <f t="shared" ref="CS56:CS63" si="371">F56</f>
        <v>0</v>
      </c>
      <c r="CT56" s="41">
        <f t="shared" ref="CT56:CT63" si="372">K56+V56+AG56+AR56+BC56+BN56+BY56+CJ56</f>
        <v>0</v>
      </c>
      <c r="CU56" s="41" t="e">
        <f>M56+O56+Q56+S56+#REF!+X56+Z56+AB56+AD56+#REF!+AI56+AK56+AM56+AO56+#REF!+AT56+AV56+AX56+AZ56+#REF!+BE56+BG56+BI56+BK56+#REF!+BP56+BR56+BT56+BV56+#REF!+CA56+CC56+CE56+CG56+#REF!+CL56+CN56+CP56+CR56+#REF!</f>
        <v>#REF!</v>
      </c>
      <c r="CV56" s="16" t="e">
        <f t="shared" ref="CV56:CV78" si="373">IF(AND(CS56=CT56,CT56=CU56,CS56=CU56),0,1)</f>
        <v>#REF!</v>
      </c>
    </row>
    <row r="57" spans="1:100" x14ac:dyDescent="0.25">
      <c r="B57" s="44" t="s">
        <v>45</v>
      </c>
      <c r="C57" s="42" t="s">
        <v>33</v>
      </c>
      <c r="D57" s="53">
        <f>3340-D61</f>
        <v>3190</v>
      </c>
      <c r="E57" s="191">
        <f>H57*$K$106</f>
        <v>244.89599999999999</v>
      </c>
      <c r="F57" s="94">
        <f>D57*E57</f>
        <v>781218.24</v>
      </c>
      <c r="G57" s="40"/>
      <c r="H57" s="162">
        <v>240</v>
      </c>
      <c r="I57" s="40"/>
      <c r="J57" s="36"/>
      <c r="K57" s="37">
        <f t="shared" si="331"/>
        <v>0</v>
      </c>
      <c r="L57" s="38"/>
      <c r="M57" s="39">
        <f t="shared" si="332"/>
        <v>0</v>
      </c>
      <c r="N57" s="38"/>
      <c r="O57" s="39">
        <f t="shared" si="333"/>
        <v>0</v>
      </c>
      <c r="P57" s="38"/>
      <c r="Q57" s="39">
        <f t="shared" si="334"/>
        <v>0</v>
      </c>
      <c r="R57" s="38"/>
      <c r="S57" s="39">
        <f t="shared" si="335"/>
        <v>0</v>
      </c>
      <c r="T57" s="40"/>
      <c r="U57" s="36"/>
      <c r="V57" s="37">
        <f t="shared" si="336"/>
        <v>0</v>
      </c>
      <c r="W57" s="38"/>
      <c r="X57" s="39">
        <f t="shared" si="337"/>
        <v>0</v>
      </c>
      <c r="Y57" s="38"/>
      <c r="Z57" s="39">
        <f t="shared" si="338"/>
        <v>0</v>
      </c>
      <c r="AA57" s="38"/>
      <c r="AB57" s="39">
        <f t="shared" si="339"/>
        <v>0</v>
      </c>
      <c r="AC57" s="38"/>
      <c r="AD57" s="39">
        <f t="shared" si="340"/>
        <v>0</v>
      </c>
      <c r="AE57" s="40"/>
      <c r="AF57" s="36"/>
      <c r="AG57" s="37">
        <f t="shared" si="341"/>
        <v>0</v>
      </c>
      <c r="AH57" s="38"/>
      <c r="AI57" s="39">
        <f t="shared" si="342"/>
        <v>0</v>
      </c>
      <c r="AJ57" s="38"/>
      <c r="AK57" s="39">
        <f t="shared" si="343"/>
        <v>0</v>
      </c>
      <c r="AL57" s="38"/>
      <c r="AM57" s="39">
        <f t="shared" si="344"/>
        <v>0</v>
      </c>
      <c r="AN57" s="38"/>
      <c r="AO57" s="39">
        <f t="shared" si="345"/>
        <v>0</v>
      </c>
      <c r="AP57" s="40"/>
      <c r="AQ57" s="36">
        <v>0.95</v>
      </c>
      <c r="AR57" s="37">
        <f t="shared" si="346"/>
        <v>742157.32799999998</v>
      </c>
      <c r="AS57" s="38"/>
      <c r="AT57" s="39">
        <f t="shared" si="347"/>
        <v>0</v>
      </c>
      <c r="AU57" s="38"/>
      <c r="AV57" s="39">
        <f t="shared" si="348"/>
        <v>0</v>
      </c>
      <c r="AW57" s="38">
        <v>1</v>
      </c>
      <c r="AX57" s="39">
        <f t="shared" si="349"/>
        <v>742157.32799999998</v>
      </c>
      <c r="AY57" s="38"/>
      <c r="AZ57" s="39">
        <f t="shared" si="350"/>
        <v>0</v>
      </c>
      <c r="BA57" s="40"/>
      <c r="BB57" s="36"/>
      <c r="BC57" s="37">
        <f t="shared" si="351"/>
        <v>0</v>
      </c>
      <c r="BD57" s="38"/>
      <c r="BE57" s="39">
        <f t="shared" si="352"/>
        <v>0</v>
      </c>
      <c r="BF57" s="38"/>
      <c r="BG57" s="39">
        <f t="shared" si="353"/>
        <v>0</v>
      </c>
      <c r="BH57" s="38"/>
      <c r="BI57" s="39">
        <f t="shared" si="354"/>
        <v>0</v>
      </c>
      <c r="BJ57" s="38"/>
      <c r="BK57" s="39">
        <f t="shared" si="355"/>
        <v>0</v>
      </c>
      <c r="BL57" s="40"/>
      <c r="BM57" s="36">
        <v>0.05</v>
      </c>
      <c r="BN57" s="37">
        <f t="shared" si="356"/>
        <v>39060.912000000004</v>
      </c>
      <c r="BO57" s="38"/>
      <c r="BP57" s="39">
        <f t="shared" si="357"/>
        <v>0</v>
      </c>
      <c r="BQ57" s="38"/>
      <c r="BR57" s="39">
        <f t="shared" si="358"/>
        <v>0</v>
      </c>
      <c r="BS57" s="57">
        <v>1</v>
      </c>
      <c r="BT57" s="39">
        <f t="shared" si="359"/>
        <v>39060.912000000004</v>
      </c>
      <c r="BU57" s="38"/>
      <c r="BV57" s="39">
        <f t="shared" si="360"/>
        <v>0</v>
      </c>
      <c r="BW57" s="40"/>
      <c r="BX57" s="36"/>
      <c r="BY57" s="37">
        <f t="shared" si="361"/>
        <v>0</v>
      </c>
      <c r="BZ57" s="38"/>
      <c r="CA57" s="39">
        <f t="shared" si="362"/>
        <v>0</v>
      </c>
      <c r="CB57" s="38"/>
      <c r="CC57" s="39">
        <f t="shared" si="363"/>
        <v>0</v>
      </c>
      <c r="CD57" s="38"/>
      <c r="CE57" s="39">
        <f t="shared" si="364"/>
        <v>0</v>
      </c>
      <c r="CF57" s="38"/>
      <c r="CG57" s="39">
        <f t="shared" si="365"/>
        <v>0</v>
      </c>
      <c r="CH57" s="40"/>
      <c r="CI57" s="36"/>
      <c r="CJ57" s="37">
        <f t="shared" si="366"/>
        <v>0</v>
      </c>
      <c r="CK57" s="38"/>
      <c r="CL57" s="39">
        <f t="shared" si="367"/>
        <v>0</v>
      </c>
      <c r="CM57" s="38"/>
      <c r="CN57" s="39">
        <f t="shared" si="368"/>
        <v>0</v>
      </c>
      <c r="CO57" s="38"/>
      <c r="CP57" s="39">
        <f t="shared" si="369"/>
        <v>0</v>
      </c>
      <c r="CQ57" s="38"/>
      <c r="CR57" s="39">
        <f t="shared" si="370"/>
        <v>0</v>
      </c>
      <c r="CS57" s="41">
        <f t="shared" si="371"/>
        <v>781218.24</v>
      </c>
      <c r="CT57" s="41">
        <f t="shared" si="372"/>
        <v>781218.24</v>
      </c>
      <c r="CU57" s="41" t="e">
        <f>M57+O57+Q57+S57+#REF!+X57+Z57+AB57+AD57+#REF!+AI57+AK57+AM57+AO57+#REF!+AT57+AV57+AX57+AZ57+#REF!+BE57+BG57+BI57+BK57+#REF!+BP57+BR57+BT57+BV57+#REF!+CA57+CC57+CE57+CG57+#REF!+CL57+CN57+CP57+CR57+#REF!</f>
        <v>#REF!</v>
      </c>
      <c r="CV57" s="16" t="e">
        <f t="shared" si="373"/>
        <v>#REF!</v>
      </c>
    </row>
    <row r="58" spans="1:100" x14ac:dyDescent="0.25">
      <c r="B58" s="44" t="s">
        <v>46</v>
      </c>
      <c r="C58" s="42" t="s">
        <v>33</v>
      </c>
      <c r="D58" s="53">
        <f>3340-D63</f>
        <v>3190</v>
      </c>
      <c r="E58" s="34">
        <f>$K$95</f>
        <v>-108.3695731319762</v>
      </c>
      <c r="F58" s="94">
        <f>D58*E58</f>
        <v>-345698.93829100404</v>
      </c>
      <c r="G58" s="40"/>
      <c r="H58" s="162">
        <v>-123.79</v>
      </c>
      <c r="I58" s="40"/>
      <c r="J58" s="36"/>
      <c r="K58" s="37">
        <f t="shared" si="331"/>
        <v>0</v>
      </c>
      <c r="L58" s="38"/>
      <c r="M58" s="39">
        <f t="shared" si="332"/>
        <v>0</v>
      </c>
      <c r="N58" s="38"/>
      <c r="O58" s="39">
        <f t="shared" si="333"/>
        <v>0</v>
      </c>
      <c r="P58" s="38"/>
      <c r="Q58" s="39">
        <f t="shared" si="334"/>
        <v>0</v>
      </c>
      <c r="R58" s="38"/>
      <c r="S58" s="39">
        <f t="shared" si="335"/>
        <v>0</v>
      </c>
      <c r="T58" s="40"/>
      <c r="U58" s="36"/>
      <c r="V58" s="37">
        <f t="shared" si="336"/>
        <v>0</v>
      </c>
      <c r="W58" s="38"/>
      <c r="X58" s="39">
        <f t="shared" si="337"/>
        <v>0</v>
      </c>
      <c r="Y58" s="38"/>
      <c r="Z58" s="39">
        <f t="shared" si="338"/>
        <v>0</v>
      </c>
      <c r="AA58" s="38"/>
      <c r="AB58" s="39">
        <f t="shared" si="339"/>
        <v>0</v>
      </c>
      <c r="AC58" s="38"/>
      <c r="AD58" s="39">
        <f t="shared" si="340"/>
        <v>0</v>
      </c>
      <c r="AE58" s="40"/>
      <c r="AF58" s="36"/>
      <c r="AG58" s="37">
        <f t="shared" si="341"/>
        <v>0</v>
      </c>
      <c r="AH58" s="38"/>
      <c r="AI58" s="39">
        <f t="shared" si="342"/>
        <v>0</v>
      </c>
      <c r="AJ58" s="38"/>
      <c r="AK58" s="39">
        <f t="shared" si="343"/>
        <v>0</v>
      </c>
      <c r="AL58" s="38"/>
      <c r="AM58" s="39">
        <f t="shared" si="344"/>
        <v>0</v>
      </c>
      <c r="AN58" s="38"/>
      <c r="AO58" s="39">
        <f t="shared" si="345"/>
        <v>0</v>
      </c>
      <c r="AP58" s="40"/>
      <c r="AQ58" s="36">
        <v>0.95</v>
      </c>
      <c r="AR58" s="37">
        <f t="shared" si="346"/>
        <v>-328413.99137645384</v>
      </c>
      <c r="AS58" s="38"/>
      <c r="AT58" s="39">
        <f t="shared" si="347"/>
        <v>0</v>
      </c>
      <c r="AU58" s="38"/>
      <c r="AV58" s="39">
        <f t="shared" si="348"/>
        <v>0</v>
      </c>
      <c r="AW58" s="38">
        <v>1</v>
      </c>
      <c r="AX58" s="39">
        <f t="shared" si="349"/>
        <v>-328413.99137645384</v>
      </c>
      <c r="AY58" s="38"/>
      <c r="AZ58" s="39">
        <f t="shared" si="350"/>
        <v>0</v>
      </c>
      <c r="BA58" s="40"/>
      <c r="BB58" s="36"/>
      <c r="BC58" s="37">
        <f t="shared" si="351"/>
        <v>0</v>
      </c>
      <c r="BD58" s="38"/>
      <c r="BE58" s="39">
        <f t="shared" si="352"/>
        <v>0</v>
      </c>
      <c r="BF58" s="38"/>
      <c r="BG58" s="39">
        <f t="shared" si="353"/>
        <v>0</v>
      </c>
      <c r="BH58" s="38"/>
      <c r="BI58" s="39">
        <f t="shared" si="354"/>
        <v>0</v>
      </c>
      <c r="BJ58" s="38"/>
      <c r="BK58" s="39">
        <f t="shared" si="355"/>
        <v>0</v>
      </c>
      <c r="BL58" s="40"/>
      <c r="BM58" s="36">
        <v>0.05</v>
      </c>
      <c r="BN58" s="37">
        <f t="shared" si="356"/>
        <v>-17284.946914550204</v>
      </c>
      <c r="BO58" s="38"/>
      <c r="BP58" s="39">
        <f t="shared" si="357"/>
        <v>0</v>
      </c>
      <c r="BQ58" s="38"/>
      <c r="BR58" s="39">
        <f t="shared" si="358"/>
        <v>0</v>
      </c>
      <c r="BS58" s="57">
        <v>1</v>
      </c>
      <c r="BT58" s="39">
        <f t="shared" si="359"/>
        <v>-17284.946914550204</v>
      </c>
      <c r="BU58" s="38"/>
      <c r="BV58" s="39">
        <f t="shared" si="360"/>
        <v>0</v>
      </c>
      <c r="BW58" s="40"/>
      <c r="BX58" s="36"/>
      <c r="BY58" s="37">
        <f t="shared" si="361"/>
        <v>0</v>
      </c>
      <c r="BZ58" s="38"/>
      <c r="CA58" s="39">
        <f t="shared" si="362"/>
        <v>0</v>
      </c>
      <c r="CB58" s="38"/>
      <c r="CC58" s="39">
        <f t="shared" si="363"/>
        <v>0</v>
      </c>
      <c r="CD58" s="38"/>
      <c r="CE58" s="39">
        <f t="shared" si="364"/>
        <v>0</v>
      </c>
      <c r="CF58" s="38"/>
      <c r="CG58" s="39">
        <f t="shared" si="365"/>
        <v>0</v>
      </c>
      <c r="CH58" s="40"/>
      <c r="CI58" s="36"/>
      <c r="CJ58" s="37">
        <f t="shared" si="366"/>
        <v>0</v>
      </c>
      <c r="CK58" s="38"/>
      <c r="CL58" s="39">
        <f t="shared" si="367"/>
        <v>0</v>
      </c>
      <c r="CM58" s="38"/>
      <c r="CN58" s="39">
        <f t="shared" si="368"/>
        <v>0</v>
      </c>
      <c r="CO58" s="38"/>
      <c r="CP58" s="39">
        <f t="shared" si="369"/>
        <v>0</v>
      </c>
      <c r="CQ58" s="38"/>
      <c r="CR58" s="39">
        <f t="shared" si="370"/>
        <v>0</v>
      </c>
      <c r="CS58" s="41">
        <f t="shared" si="371"/>
        <v>-345698.93829100404</v>
      </c>
      <c r="CT58" s="41">
        <f t="shared" si="372"/>
        <v>-345698.93829100404</v>
      </c>
      <c r="CU58" s="41" t="e">
        <f>M58+O58+Q58+S58+#REF!+X58+Z58+AB58+AD58+#REF!+AI58+AK58+AM58+AO58+#REF!+AT58+AV58+AX58+AZ58+#REF!+BE58+BG58+BI58+BK58+#REF!+BP58+BR58+BT58+BV58+#REF!+CA58+CC58+CE58+CG58+#REF!+CL58+CN58+CP58+CR58+#REF!</f>
        <v>#REF!</v>
      </c>
      <c r="CV58" s="16" t="e">
        <f t="shared" si="373"/>
        <v>#REF!</v>
      </c>
    </row>
    <row r="59" spans="1:100" x14ac:dyDescent="0.25">
      <c r="B59" s="46" t="s">
        <v>37</v>
      </c>
      <c r="C59" s="54" t="s">
        <v>36</v>
      </c>
      <c r="D59" s="118">
        <v>150300</v>
      </c>
      <c r="E59" s="47">
        <f>$K$97</f>
        <v>-0.31414430979039298</v>
      </c>
      <c r="F59" s="94">
        <v>-55638.747692307705</v>
      </c>
      <c r="G59" s="55"/>
      <c r="H59" s="162">
        <v>-0.37</v>
      </c>
      <c r="I59" s="55"/>
      <c r="J59" s="36"/>
      <c r="K59" s="37">
        <f t="shared" si="331"/>
        <v>0</v>
      </c>
      <c r="L59" s="38"/>
      <c r="M59" s="39">
        <f t="shared" si="332"/>
        <v>0</v>
      </c>
      <c r="N59" s="38"/>
      <c r="O59" s="39">
        <f t="shared" si="333"/>
        <v>0</v>
      </c>
      <c r="P59" s="38"/>
      <c r="Q59" s="39">
        <f t="shared" si="334"/>
        <v>0</v>
      </c>
      <c r="R59" s="38"/>
      <c r="S59" s="39">
        <f t="shared" si="335"/>
        <v>0</v>
      </c>
      <c r="T59" s="55"/>
      <c r="U59" s="56"/>
      <c r="V59" s="37">
        <f t="shared" si="336"/>
        <v>0</v>
      </c>
      <c r="W59" s="57"/>
      <c r="X59" s="39">
        <f t="shared" si="337"/>
        <v>0</v>
      </c>
      <c r="Y59" s="57"/>
      <c r="Z59" s="39">
        <f t="shared" si="338"/>
        <v>0</v>
      </c>
      <c r="AA59" s="57"/>
      <c r="AB59" s="39">
        <f t="shared" si="339"/>
        <v>0</v>
      </c>
      <c r="AC59" s="57"/>
      <c r="AD59" s="39">
        <f t="shared" si="340"/>
        <v>0</v>
      </c>
      <c r="AE59" s="55"/>
      <c r="AF59" s="56"/>
      <c r="AG59" s="37">
        <f t="shared" si="341"/>
        <v>0</v>
      </c>
      <c r="AH59" s="57"/>
      <c r="AI59" s="39">
        <f t="shared" si="342"/>
        <v>0</v>
      </c>
      <c r="AJ59" s="57"/>
      <c r="AK59" s="39">
        <f t="shared" si="343"/>
        <v>0</v>
      </c>
      <c r="AL59" s="57"/>
      <c r="AM59" s="39">
        <f t="shared" si="344"/>
        <v>0</v>
      </c>
      <c r="AN59" s="57"/>
      <c r="AO59" s="39">
        <f t="shared" si="345"/>
        <v>0</v>
      </c>
      <c r="AP59" s="55"/>
      <c r="AQ59" s="56">
        <v>0.2</v>
      </c>
      <c r="AR59" s="37">
        <f t="shared" si="346"/>
        <v>-11127.749538461541</v>
      </c>
      <c r="AS59" s="57"/>
      <c r="AT59" s="39">
        <f t="shared" si="347"/>
        <v>0</v>
      </c>
      <c r="AU59" s="57"/>
      <c r="AV59" s="39">
        <f t="shared" si="348"/>
        <v>0</v>
      </c>
      <c r="AW59" s="38">
        <v>1</v>
      </c>
      <c r="AX59" s="39">
        <f t="shared" si="349"/>
        <v>-11127.749538461541</v>
      </c>
      <c r="AY59" s="57"/>
      <c r="AZ59" s="39">
        <f t="shared" si="350"/>
        <v>0</v>
      </c>
      <c r="BA59" s="55"/>
      <c r="BB59" s="56"/>
      <c r="BC59" s="37">
        <f t="shared" si="351"/>
        <v>0</v>
      </c>
      <c r="BD59" s="57"/>
      <c r="BE59" s="39">
        <f t="shared" si="352"/>
        <v>0</v>
      </c>
      <c r="BF59" s="57"/>
      <c r="BG59" s="39">
        <f t="shared" si="353"/>
        <v>0</v>
      </c>
      <c r="BH59" s="57"/>
      <c r="BI59" s="39">
        <f t="shared" si="354"/>
        <v>0</v>
      </c>
      <c r="BJ59" s="57"/>
      <c r="BK59" s="39">
        <f t="shared" si="355"/>
        <v>0</v>
      </c>
      <c r="BL59" s="55"/>
      <c r="BM59" s="56">
        <v>0.8</v>
      </c>
      <c r="BN59" s="37">
        <f t="shared" si="356"/>
        <v>-44510.998153846165</v>
      </c>
      <c r="BO59" s="57"/>
      <c r="BP59" s="39">
        <f t="shared" si="357"/>
        <v>0</v>
      </c>
      <c r="BQ59" s="57"/>
      <c r="BR59" s="39">
        <f t="shared" si="358"/>
        <v>0</v>
      </c>
      <c r="BS59" s="57">
        <v>1</v>
      </c>
      <c r="BT59" s="39">
        <f t="shared" si="359"/>
        <v>-44510.998153846165</v>
      </c>
      <c r="BU59" s="57"/>
      <c r="BV59" s="39">
        <f t="shared" si="360"/>
        <v>0</v>
      </c>
      <c r="BW59" s="55"/>
      <c r="BX59" s="56"/>
      <c r="BY59" s="37">
        <f t="shared" si="361"/>
        <v>0</v>
      </c>
      <c r="BZ59" s="57"/>
      <c r="CA59" s="39">
        <f t="shared" si="362"/>
        <v>0</v>
      </c>
      <c r="CB59" s="57"/>
      <c r="CC59" s="39">
        <f t="shared" si="363"/>
        <v>0</v>
      </c>
      <c r="CD59" s="57"/>
      <c r="CE59" s="39">
        <f t="shared" si="364"/>
        <v>0</v>
      </c>
      <c r="CF59" s="57"/>
      <c r="CG59" s="39">
        <f t="shared" si="365"/>
        <v>0</v>
      </c>
      <c r="CH59" s="55"/>
      <c r="CI59" s="56"/>
      <c r="CJ59" s="37">
        <f t="shared" si="366"/>
        <v>0</v>
      </c>
      <c r="CK59" s="57"/>
      <c r="CL59" s="39">
        <f t="shared" si="367"/>
        <v>0</v>
      </c>
      <c r="CM59" s="57"/>
      <c r="CN59" s="39">
        <f t="shared" si="368"/>
        <v>0</v>
      </c>
      <c r="CO59" s="57"/>
      <c r="CP59" s="39">
        <f t="shared" si="369"/>
        <v>0</v>
      </c>
      <c r="CQ59" s="57"/>
      <c r="CR59" s="39">
        <f t="shared" si="370"/>
        <v>0</v>
      </c>
      <c r="CS59" s="41">
        <f t="shared" si="371"/>
        <v>-55638.747692307705</v>
      </c>
      <c r="CT59" s="41">
        <f t="shared" si="372"/>
        <v>-55638.747692307705</v>
      </c>
      <c r="CU59" s="41" t="e">
        <f>M59+O59+Q59+S59+#REF!+X59+Z59+AB59+AD59+#REF!+AI59+AK59+AM59+AO59+#REF!+AT59+AV59+AX59+AZ59+#REF!+BE59+BG59+BI59+BK59+#REF!+BP59+BR59+BT59+BV59+#REF!+CA59+CC59+CE59+CG59+#REF!+CL59+CN59+CP59+CR59+#REF!</f>
        <v>#REF!</v>
      </c>
      <c r="CV59" s="16" t="e">
        <f t="shared" ref="CV59" si="374">IF(AND(CS59=CT59,CT59=CU59,CS59=CU59),0,1)</f>
        <v>#REF!</v>
      </c>
    </row>
    <row r="60" spans="1:100" x14ac:dyDescent="0.25">
      <c r="B60" s="51" t="s">
        <v>41</v>
      </c>
      <c r="C60" s="54" t="s">
        <v>33</v>
      </c>
      <c r="D60" s="53">
        <v>92</v>
      </c>
      <c r="E60" s="191">
        <f>H60*$K$106</f>
        <v>66.325999999999993</v>
      </c>
      <c r="F60" s="94">
        <v>5980</v>
      </c>
      <c r="G60" s="55"/>
      <c r="H60" s="162">
        <v>65</v>
      </c>
      <c r="I60" s="55"/>
      <c r="J60" s="36"/>
      <c r="K60" s="37">
        <f t="shared" si="331"/>
        <v>0</v>
      </c>
      <c r="L60" s="38"/>
      <c r="M60" s="39">
        <f t="shared" si="332"/>
        <v>0</v>
      </c>
      <c r="N60" s="38"/>
      <c r="O60" s="39">
        <f t="shared" si="333"/>
        <v>0</v>
      </c>
      <c r="P60" s="38"/>
      <c r="Q60" s="39">
        <f t="shared" si="334"/>
        <v>0</v>
      </c>
      <c r="R60" s="38"/>
      <c r="S60" s="39">
        <f t="shared" si="335"/>
        <v>0</v>
      </c>
      <c r="T60" s="55"/>
      <c r="U60" s="56">
        <v>0.14285714285714288</v>
      </c>
      <c r="V60" s="37">
        <f t="shared" si="336"/>
        <v>854.28571428571445</v>
      </c>
      <c r="W60" s="57"/>
      <c r="X60" s="39">
        <f t="shared" si="337"/>
        <v>0</v>
      </c>
      <c r="Y60" s="57"/>
      <c r="Z60" s="39">
        <f t="shared" si="338"/>
        <v>0</v>
      </c>
      <c r="AA60" s="57">
        <v>1</v>
      </c>
      <c r="AB60" s="39">
        <f t="shared" si="339"/>
        <v>854.28571428571445</v>
      </c>
      <c r="AC60" s="57"/>
      <c r="AD60" s="39">
        <f t="shared" si="340"/>
        <v>0</v>
      </c>
      <c r="AE60" s="55"/>
      <c r="AF60" s="56">
        <v>0.14285714285714288</v>
      </c>
      <c r="AG60" s="37">
        <f t="shared" si="341"/>
        <v>854.28571428571445</v>
      </c>
      <c r="AH60" s="57"/>
      <c r="AI60" s="39">
        <f t="shared" si="342"/>
        <v>0</v>
      </c>
      <c r="AJ60" s="57"/>
      <c r="AK60" s="39">
        <f t="shared" si="343"/>
        <v>0</v>
      </c>
      <c r="AL60" s="57">
        <v>1</v>
      </c>
      <c r="AM60" s="39">
        <f t="shared" si="344"/>
        <v>854.28571428571445</v>
      </c>
      <c r="AN60" s="57"/>
      <c r="AO60" s="39">
        <f t="shared" si="345"/>
        <v>0</v>
      </c>
      <c r="AP60" s="55"/>
      <c r="AQ60" s="56">
        <v>0.14285714285714288</v>
      </c>
      <c r="AR60" s="37">
        <f t="shared" si="346"/>
        <v>854.28571428571445</v>
      </c>
      <c r="AS60" s="57"/>
      <c r="AT60" s="39">
        <f t="shared" si="347"/>
        <v>0</v>
      </c>
      <c r="AU60" s="57"/>
      <c r="AV60" s="39">
        <f t="shared" si="348"/>
        <v>0</v>
      </c>
      <c r="AW60" s="38">
        <v>1</v>
      </c>
      <c r="AX60" s="39">
        <f t="shared" si="349"/>
        <v>854.28571428571445</v>
      </c>
      <c r="AY60" s="57"/>
      <c r="AZ60" s="39">
        <f t="shared" si="350"/>
        <v>0</v>
      </c>
      <c r="BA60" s="55"/>
      <c r="BB60" s="56">
        <v>0.14285714285714288</v>
      </c>
      <c r="BC60" s="37">
        <f t="shared" si="351"/>
        <v>854.28571428571445</v>
      </c>
      <c r="BD60" s="57"/>
      <c r="BE60" s="39">
        <f t="shared" si="352"/>
        <v>0</v>
      </c>
      <c r="BF60" s="57"/>
      <c r="BG60" s="39">
        <f t="shared" si="353"/>
        <v>0</v>
      </c>
      <c r="BH60" s="57">
        <v>1</v>
      </c>
      <c r="BI60" s="39">
        <f t="shared" si="354"/>
        <v>854.28571428571445</v>
      </c>
      <c r="BJ60" s="57"/>
      <c r="BK60" s="39">
        <f t="shared" si="355"/>
        <v>0</v>
      </c>
      <c r="BL60" s="55"/>
      <c r="BM60" s="56">
        <v>0.14285714285714288</v>
      </c>
      <c r="BN60" s="37">
        <f t="shared" si="356"/>
        <v>854.28571428571445</v>
      </c>
      <c r="BO60" s="57"/>
      <c r="BP60" s="39">
        <f t="shared" si="357"/>
        <v>0</v>
      </c>
      <c r="BQ60" s="57"/>
      <c r="BR60" s="39">
        <f t="shared" si="358"/>
        <v>0</v>
      </c>
      <c r="BS60" s="57">
        <v>1</v>
      </c>
      <c r="BT60" s="39">
        <f t="shared" si="359"/>
        <v>854.28571428571445</v>
      </c>
      <c r="BU60" s="57"/>
      <c r="BV60" s="39">
        <f t="shared" si="360"/>
        <v>0</v>
      </c>
      <c r="BW60" s="55"/>
      <c r="BX60" s="56">
        <v>0.14285714285714288</v>
      </c>
      <c r="BY60" s="37">
        <f t="shared" si="361"/>
        <v>854.28571428571445</v>
      </c>
      <c r="BZ60" s="57"/>
      <c r="CA60" s="39">
        <f t="shared" si="362"/>
        <v>0</v>
      </c>
      <c r="CB60" s="57"/>
      <c r="CC60" s="39">
        <f t="shared" si="363"/>
        <v>0</v>
      </c>
      <c r="CD60" s="57">
        <v>1</v>
      </c>
      <c r="CE60" s="39">
        <f t="shared" si="364"/>
        <v>854.28571428571445</v>
      </c>
      <c r="CF60" s="57"/>
      <c r="CG60" s="39">
        <f t="shared" si="365"/>
        <v>0</v>
      </c>
      <c r="CH60" s="55"/>
      <c r="CI60" s="56">
        <v>0.14285714285714288</v>
      </c>
      <c r="CJ60" s="37">
        <f t="shared" si="366"/>
        <v>854.28571428571445</v>
      </c>
      <c r="CK60" s="57"/>
      <c r="CL60" s="39">
        <f t="shared" si="367"/>
        <v>0</v>
      </c>
      <c r="CM60" s="57"/>
      <c r="CN60" s="39">
        <f t="shared" si="368"/>
        <v>0</v>
      </c>
      <c r="CO60" s="57">
        <v>1</v>
      </c>
      <c r="CP60" s="39">
        <f t="shared" si="369"/>
        <v>854.28571428571445</v>
      </c>
      <c r="CQ60" s="57"/>
      <c r="CR60" s="39">
        <f t="shared" si="370"/>
        <v>0</v>
      </c>
      <c r="CS60" s="41">
        <f t="shared" si="371"/>
        <v>5980</v>
      </c>
      <c r="CT60" s="41">
        <f t="shared" si="372"/>
        <v>5980.0000000000018</v>
      </c>
      <c r="CU60" s="41" t="e">
        <f>M60+O60+Q60+S60+#REF!+X60+Z60+AB60+AD60+#REF!+AI60+AK60+AM60+AO60+#REF!+AT60+AV60+AX60+AZ60+#REF!+BE60+BG60+BI60+BK60+#REF!+BP60+BR60+BT60+BV60+#REF!+CA60+CC60+CE60+CG60+#REF!+CL60+CN60+CP60+CR60+#REF!</f>
        <v>#REF!</v>
      </c>
      <c r="CV60" s="16" t="e">
        <f t="shared" si="373"/>
        <v>#REF!</v>
      </c>
    </row>
    <row r="61" spans="1:100" x14ac:dyDescent="0.25">
      <c r="B61" s="99" t="s">
        <v>144</v>
      </c>
      <c r="C61" s="100" t="s">
        <v>33</v>
      </c>
      <c r="D61" s="101">
        <v>150</v>
      </c>
      <c r="E61" s="191">
        <f>H61*$K$106</f>
        <v>244.89599999999999</v>
      </c>
      <c r="F61" s="94">
        <f>D61*E61</f>
        <v>36734.400000000001</v>
      </c>
      <c r="G61" s="55"/>
      <c r="H61" s="162">
        <v>240</v>
      </c>
      <c r="I61" s="55"/>
      <c r="J61" s="36"/>
      <c r="K61" s="37">
        <f t="shared" ref="K61:K62" si="375">J61*$F61</f>
        <v>0</v>
      </c>
      <c r="L61" s="38"/>
      <c r="M61" s="39">
        <f t="shared" ref="M61:M62" si="376">L61*K61</f>
        <v>0</v>
      </c>
      <c r="N61" s="38"/>
      <c r="O61" s="39">
        <f t="shared" ref="O61:O62" si="377">N61*K61</f>
        <v>0</v>
      </c>
      <c r="P61" s="38"/>
      <c r="Q61" s="39">
        <f t="shared" ref="Q61:Q62" si="378">P61*K61</f>
        <v>0</v>
      </c>
      <c r="R61" s="38"/>
      <c r="S61" s="39">
        <f t="shared" ref="S61:S62" si="379">R61*K61</f>
        <v>0</v>
      </c>
      <c r="T61" s="55"/>
      <c r="U61" s="56"/>
      <c r="V61" s="37">
        <f t="shared" ref="V61:V62" si="380">U61*$F61</f>
        <v>0</v>
      </c>
      <c r="W61" s="57"/>
      <c r="X61" s="39">
        <f t="shared" ref="X61:X62" si="381">W61*V61</f>
        <v>0</v>
      </c>
      <c r="Y61" s="57"/>
      <c r="Z61" s="39">
        <f t="shared" ref="Z61:Z62" si="382">Y61*V61</f>
        <v>0</v>
      </c>
      <c r="AA61" s="57"/>
      <c r="AB61" s="39">
        <f t="shared" ref="AB61:AB62" si="383">AA61*V61</f>
        <v>0</v>
      </c>
      <c r="AC61" s="57"/>
      <c r="AD61" s="39">
        <f t="shared" ref="AD61:AD62" si="384">AC61*V61</f>
        <v>0</v>
      </c>
      <c r="AE61" s="55"/>
      <c r="AF61" s="56"/>
      <c r="AG61" s="37">
        <f t="shared" ref="AG61:AG62" si="385">AF61*$F61</f>
        <v>0</v>
      </c>
      <c r="AH61" s="57"/>
      <c r="AI61" s="39">
        <f t="shared" ref="AI61:AI62" si="386">AH61*AG61</f>
        <v>0</v>
      </c>
      <c r="AJ61" s="57"/>
      <c r="AK61" s="39">
        <f t="shared" ref="AK61:AK62" si="387">AJ61*AG61</f>
        <v>0</v>
      </c>
      <c r="AL61" s="57"/>
      <c r="AM61" s="39">
        <f t="shared" ref="AM61:AM62" si="388">AL61*AG61</f>
        <v>0</v>
      </c>
      <c r="AN61" s="57"/>
      <c r="AO61" s="39">
        <f t="shared" ref="AO61:AO62" si="389">AN61*AG61</f>
        <v>0</v>
      </c>
      <c r="AP61" s="55"/>
      <c r="AQ61" s="56"/>
      <c r="AR61" s="37">
        <f t="shared" ref="AR61:AR62" si="390">AQ61*$F61</f>
        <v>0</v>
      </c>
      <c r="AS61" s="57"/>
      <c r="AT61" s="39">
        <f t="shared" ref="AT61:AT62" si="391">AS61*AR61</f>
        <v>0</v>
      </c>
      <c r="AU61" s="57"/>
      <c r="AV61" s="39">
        <f t="shared" ref="AV61:AV62" si="392">AU61*AR61</f>
        <v>0</v>
      </c>
      <c r="AW61" s="57"/>
      <c r="AX61" s="39">
        <f t="shared" ref="AX61:AX62" si="393">AW61*AR61</f>
        <v>0</v>
      </c>
      <c r="AY61" s="57"/>
      <c r="AZ61" s="39">
        <f t="shared" ref="AZ61:AZ62" si="394">AY61*AR61</f>
        <v>0</v>
      </c>
      <c r="BA61" s="55"/>
      <c r="BB61" s="56"/>
      <c r="BC61" s="37">
        <f t="shared" ref="BC61:BC62" si="395">BB61*$F61</f>
        <v>0</v>
      </c>
      <c r="BD61" s="57"/>
      <c r="BE61" s="39">
        <f t="shared" ref="BE61:BE62" si="396">BD61*BC61</f>
        <v>0</v>
      </c>
      <c r="BF61" s="57"/>
      <c r="BG61" s="39">
        <f t="shared" ref="BG61:BG62" si="397">BF61*BC61</f>
        <v>0</v>
      </c>
      <c r="BH61" s="57"/>
      <c r="BI61" s="39">
        <f t="shared" ref="BI61:BI62" si="398">BH61*BC61</f>
        <v>0</v>
      </c>
      <c r="BJ61" s="57"/>
      <c r="BK61" s="39">
        <f t="shared" ref="BK61:BK62" si="399">BJ61*BC61</f>
        <v>0</v>
      </c>
      <c r="BL61" s="55"/>
      <c r="BM61" s="56">
        <v>1</v>
      </c>
      <c r="BN61" s="37">
        <f t="shared" ref="BN61:BN62" si="400">BM61*$F61</f>
        <v>36734.400000000001</v>
      </c>
      <c r="BO61" s="57"/>
      <c r="BP61" s="39">
        <f t="shared" ref="BP61:BP62" si="401">BO61*BN61</f>
        <v>0</v>
      </c>
      <c r="BQ61" s="57"/>
      <c r="BR61" s="39">
        <f t="shared" ref="BR61:BR62" si="402">BQ61*BN61</f>
        <v>0</v>
      </c>
      <c r="BS61" s="57"/>
      <c r="BT61" s="39">
        <f t="shared" ref="BT61:BT62" si="403">BS61*BN61</f>
        <v>0</v>
      </c>
      <c r="BU61" s="57"/>
      <c r="BV61" s="39">
        <f t="shared" ref="BV61:BV62" si="404">BU61*BN61</f>
        <v>0</v>
      </c>
      <c r="BW61" s="55"/>
      <c r="BX61" s="56"/>
      <c r="BY61" s="37">
        <f t="shared" ref="BY61:BY62" si="405">BX61*$F61</f>
        <v>0</v>
      </c>
      <c r="BZ61" s="57"/>
      <c r="CA61" s="39">
        <f t="shared" ref="CA61:CA62" si="406">BZ61*BY61</f>
        <v>0</v>
      </c>
      <c r="CB61" s="57"/>
      <c r="CC61" s="39">
        <f t="shared" ref="CC61:CC62" si="407">CB61*BY61</f>
        <v>0</v>
      </c>
      <c r="CD61" s="57"/>
      <c r="CE61" s="39">
        <f t="shared" ref="CE61:CE62" si="408">CD61*BY61</f>
        <v>0</v>
      </c>
      <c r="CF61" s="57"/>
      <c r="CG61" s="39">
        <f t="shared" ref="CG61:CG62" si="409">CF61*BY61</f>
        <v>0</v>
      </c>
      <c r="CH61" s="55"/>
      <c r="CI61" s="56"/>
      <c r="CJ61" s="37">
        <f t="shared" ref="CJ61:CJ62" si="410">CI61*$F61</f>
        <v>0</v>
      </c>
      <c r="CK61" s="57"/>
      <c r="CL61" s="39">
        <f t="shared" ref="CL61:CL62" si="411">CK61*CJ61</f>
        <v>0</v>
      </c>
      <c r="CM61" s="57"/>
      <c r="CN61" s="39">
        <f t="shared" ref="CN61:CN62" si="412">CM61*CJ61</f>
        <v>0</v>
      </c>
      <c r="CO61" s="57"/>
      <c r="CP61" s="39">
        <f t="shared" ref="CP61:CP62" si="413">CO61*CJ61</f>
        <v>0</v>
      </c>
      <c r="CQ61" s="57"/>
      <c r="CR61" s="39">
        <f t="shared" ref="CR61:CR62" si="414">CQ61*CJ61</f>
        <v>0</v>
      </c>
      <c r="CS61" s="41">
        <f t="shared" si="371"/>
        <v>36734.400000000001</v>
      </c>
      <c r="CT61" s="41">
        <f t="shared" si="372"/>
        <v>36734.400000000001</v>
      </c>
      <c r="CU61" s="41" t="e">
        <f>M61+O61+Q61+S61+#REF!+X61+Z61+AB61+AD61+#REF!+AI61+AK61+AM61+AO61+#REF!+AT61+AV61+AX61+AZ61+#REF!+BE61+BG61+BI61+BK61+#REF!+BP61+BR61+BT61+BV61+#REF!+CA61+CC61+CE61+CG61+#REF!+CL61+CN61+CP61+CR61+#REF!</f>
        <v>#REF!</v>
      </c>
      <c r="CV61" s="16" t="e">
        <f t="shared" ref="CV61" si="415">IF(AND(CS61=CT61,CT61=CU61,CS61=CU61),0,1)</f>
        <v>#REF!</v>
      </c>
    </row>
    <row r="62" spans="1:100" x14ac:dyDescent="0.25">
      <c r="B62" s="99" t="s">
        <v>163</v>
      </c>
      <c r="C62" s="100" t="s">
        <v>36</v>
      </c>
      <c r="D62" s="101">
        <f>F62/E62</f>
        <v>220114.41924200326</v>
      </c>
      <c r="E62" s="47">
        <f>$K$97</f>
        <v>-0.31414430979039298</v>
      </c>
      <c r="F62" s="94">
        <v>-69147.692307692312</v>
      </c>
      <c r="G62" s="55"/>
      <c r="H62" s="162">
        <v>-0.37</v>
      </c>
      <c r="I62" s="55"/>
      <c r="J62" s="36"/>
      <c r="K62" s="37">
        <f t="shared" si="375"/>
        <v>0</v>
      </c>
      <c r="L62" s="38"/>
      <c r="M62" s="39">
        <f t="shared" si="376"/>
        <v>0</v>
      </c>
      <c r="N62" s="38"/>
      <c r="O62" s="39">
        <f t="shared" si="377"/>
        <v>0</v>
      </c>
      <c r="P62" s="38"/>
      <c r="Q62" s="39">
        <f t="shared" si="378"/>
        <v>0</v>
      </c>
      <c r="R62" s="38"/>
      <c r="S62" s="39">
        <f t="shared" si="379"/>
        <v>0</v>
      </c>
      <c r="T62" s="55"/>
      <c r="U62" s="56"/>
      <c r="V62" s="37">
        <f t="shared" si="380"/>
        <v>0</v>
      </c>
      <c r="W62" s="57"/>
      <c r="X62" s="39">
        <f t="shared" si="381"/>
        <v>0</v>
      </c>
      <c r="Y62" s="57"/>
      <c r="Z62" s="39">
        <f t="shared" si="382"/>
        <v>0</v>
      </c>
      <c r="AA62" s="57"/>
      <c r="AB62" s="39">
        <f t="shared" si="383"/>
        <v>0</v>
      </c>
      <c r="AC62" s="57"/>
      <c r="AD62" s="39">
        <f t="shared" si="384"/>
        <v>0</v>
      </c>
      <c r="AE62" s="55"/>
      <c r="AF62" s="56"/>
      <c r="AG62" s="37">
        <f t="shared" si="385"/>
        <v>0</v>
      </c>
      <c r="AH62" s="57"/>
      <c r="AI62" s="39">
        <f t="shared" si="386"/>
        <v>0</v>
      </c>
      <c r="AJ62" s="57"/>
      <c r="AK62" s="39">
        <f t="shared" si="387"/>
        <v>0</v>
      </c>
      <c r="AL62" s="57"/>
      <c r="AM62" s="39">
        <f t="shared" si="388"/>
        <v>0</v>
      </c>
      <c r="AN62" s="57"/>
      <c r="AO62" s="39">
        <f t="shared" si="389"/>
        <v>0</v>
      </c>
      <c r="AP62" s="55"/>
      <c r="AQ62" s="56"/>
      <c r="AR62" s="37">
        <f t="shared" si="390"/>
        <v>0</v>
      </c>
      <c r="AS62" s="57"/>
      <c r="AT62" s="39">
        <f t="shared" si="391"/>
        <v>0</v>
      </c>
      <c r="AU62" s="57"/>
      <c r="AV62" s="39">
        <f t="shared" si="392"/>
        <v>0</v>
      </c>
      <c r="AW62" s="38"/>
      <c r="AX62" s="39">
        <f t="shared" si="393"/>
        <v>0</v>
      </c>
      <c r="AY62" s="57"/>
      <c r="AZ62" s="39">
        <f t="shared" si="394"/>
        <v>0</v>
      </c>
      <c r="BA62" s="55"/>
      <c r="BB62" s="56"/>
      <c r="BC62" s="37">
        <f t="shared" si="395"/>
        <v>0</v>
      </c>
      <c r="BD62" s="57"/>
      <c r="BE62" s="39">
        <f t="shared" si="396"/>
        <v>0</v>
      </c>
      <c r="BF62" s="57"/>
      <c r="BG62" s="39">
        <f t="shared" si="397"/>
        <v>0</v>
      </c>
      <c r="BH62" s="57"/>
      <c r="BI62" s="39">
        <f t="shared" si="398"/>
        <v>0</v>
      </c>
      <c r="BJ62" s="57"/>
      <c r="BK62" s="39">
        <f t="shared" si="399"/>
        <v>0</v>
      </c>
      <c r="BL62" s="55"/>
      <c r="BM62" s="56">
        <v>1</v>
      </c>
      <c r="BN62" s="37">
        <f t="shared" si="400"/>
        <v>-69147.692307692312</v>
      </c>
      <c r="BO62" s="57"/>
      <c r="BP62" s="39">
        <f t="shared" si="401"/>
        <v>0</v>
      </c>
      <c r="BQ62" s="57"/>
      <c r="BR62" s="39">
        <f t="shared" si="402"/>
        <v>0</v>
      </c>
      <c r="BS62" s="57">
        <v>1</v>
      </c>
      <c r="BT62" s="39">
        <f t="shared" si="403"/>
        <v>-69147.692307692312</v>
      </c>
      <c r="BU62" s="57"/>
      <c r="BV62" s="39">
        <f t="shared" si="404"/>
        <v>0</v>
      </c>
      <c r="BW62" s="55"/>
      <c r="BX62" s="56"/>
      <c r="BY62" s="37">
        <f t="shared" si="405"/>
        <v>0</v>
      </c>
      <c r="BZ62" s="57"/>
      <c r="CA62" s="39">
        <f t="shared" si="406"/>
        <v>0</v>
      </c>
      <c r="CB62" s="57"/>
      <c r="CC62" s="39">
        <f t="shared" si="407"/>
        <v>0</v>
      </c>
      <c r="CD62" s="57"/>
      <c r="CE62" s="39">
        <f t="shared" si="408"/>
        <v>0</v>
      </c>
      <c r="CF62" s="57"/>
      <c r="CG62" s="39">
        <f t="shared" si="409"/>
        <v>0</v>
      </c>
      <c r="CH62" s="55"/>
      <c r="CI62" s="56"/>
      <c r="CJ62" s="37">
        <f t="shared" si="410"/>
        <v>0</v>
      </c>
      <c r="CK62" s="57"/>
      <c r="CL62" s="39">
        <f t="shared" si="411"/>
        <v>0</v>
      </c>
      <c r="CM62" s="57"/>
      <c r="CN62" s="39">
        <f t="shared" si="412"/>
        <v>0</v>
      </c>
      <c r="CO62" s="57"/>
      <c r="CP62" s="39">
        <f t="shared" si="413"/>
        <v>0</v>
      </c>
      <c r="CQ62" s="57"/>
      <c r="CR62" s="39">
        <f t="shared" si="414"/>
        <v>0</v>
      </c>
      <c r="CS62" s="41">
        <f t="shared" si="371"/>
        <v>-69147.692307692312</v>
      </c>
      <c r="CT62" s="41">
        <f t="shared" si="372"/>
        <v>-69147.692307692312</v>
      </c>
      <c r="CU62" s="41" t="e">
        <f>M62+O62+Q62+S62+#REF!+X62+Z62+AB62+AD62+#REF!+AI62+AK62+AM62+AO62+#REF!+AT62+AV62+AX62+AZ62+#REF!+BE62+BG62+BI62+BK62+#REF!+BP62+BR62+BT62+BV62+#REF!+CA62+CC62+CE62+CG62+#REF!+CL62+CN62+CP62+CR62+#REF!</f>
        <v>#REF!</v>
      </c>
      <c r="CV62" s="16" t="e">
        <f t="shared" si="373"/>
        <v>#REF!</v>
      </c>
    </row>
    <row r="63" spans="1:100" x14ac:dyDescent="0.25">
      <c r="B63" s="99" t="s">
        <v>146</v>
      </c>
      <c r="C63" s="100" t="s">
        <v>33</v>
      </c>
      <c r="D63" s="101">
        <v>150</v>
      </c>
      <c r="E63" s="34">
        <f>$K$95</f>
        <v>-108.3695731319762</v>
      </c>
      <c r="F63" s="94">
        <f>D63*E63</f>
        <v>-16255.43596979643</v>
      </c>
      <c r="G63" s="55"/>
      <c r="H63" s="162">
        <v>-123.79</v>
      </c>
      <c r="I63" s="55"/>
      <c r="J63" s="36"/>
      <c r="K63" s="37">
        <f t="shared" ref="K63" si="416">J63*$F63</f>
        <v>0</v>
      </c>
      <c r="L63" s="38"/>
      <c r="M63" s="39">
        <f t="shared" ref="M63" si="417">L63*K63</f>
        <v>0</v>
      </c>
      <c r="N63" s="38"/>
      <c r="O63" s="39">
        <f t="shared" ref="O63" si="418">N63*K63</f>
        <v>0</v>
      </c>
      <c r="P63" s="38"/>
      <c r="Q63" s="39">
        <f t="shared" ref="Q63" si="419">P63*K63</f>
        <v>0</v>
      </c>
      <c r="R63" s="38"/>
      <c r="S63" s="39">
        <f t="shared" ref="S63" si="420">R63*K63</f>
        <v>0</v>
      </c>
      <c r="T63" s="55"/>
      <c r="U63" s="56"/>
      <c r="V63" s="37">
        <f t="shared" ref="V63" si="421">U63*$F63</f>
        <v>0</v>
      </c>
      <c r="W63" s="57"/>
      <c r="X63" s="39">
        <f t="shared" ref="X63" si="422">W63*V63</f>
        <v>0</v>
      </c>
      <c r="Y63" s="57"/>
      <c r="Z63" s="39">
        <f t="shared" ref="Z63" si="423">Y63*V63</f>
        <v>0</v>
      </c>
      <c r="AA63" s="57"/>
      <c r="AB63" s="39">
        <f t="shared" ref="AB63" si="424">AA63*V63</f>
        <v>0</v>
      </c>
      <c r="AC63" s="57"/>
      <c r="AD63" s="39">
        <f t="shared" ref="AD63" si="425">AC63*V63</f>
        <v>0</v>
      </c>
      <c r="AE63" s="55"/>
      <c r="AF63" s="56"/>
      <c r="AG63" s="37">
        <f t="shared" ref="AG63" si="426">AF63*$F63</f>
        <v>0</v>
      </c>
      <c r="AH63" s="57"/>
      <c r="AI63" s="39">
        <f t="shared" ref="AI63" si="427">AH63*AG63</f>
        <v>0</v>
      </c>
      <c r="AJ63" s="57"/>
      <c r="AK63" s="39">
        <f t="shared" ref="AK63" si="428">AJ63*AG63</f>
        <v>0</v>
      </c>
      <c r="AL63" s="57"/>
      <c r="AM63" s="39">
        <f t="shared" ref="AM63" si="429">AL63*AG63</f>
        <v>0</v>
      </c>
      <c r="AN63" s="57"/>
      <c r="AO63" s="39">
        <f t="shared" ref="AO63" si="430">AN63*AG63</f>
        <v>0</v>
      </c>
      <c r="AP63" s="55"/>
      <c r="AQ63" s="56"/>
      <c r="AR63" s="37">
        <f t="shared" ref="AR63" si="431">AQ63*$F63</f>
        <v>0</v>
      </c>
      <c r="AS63" s="57"/>
      <c r="AT63" s="39">
        <f t="shared" ref="AT63" si="432">AS63*AR63</f>
        <v>0</v>
      </c>
      <c r="AU63" s="57"/>
      <c r="AV63" s="39">
        <f t="shared" ref="AV63" si="433">AU63*AR63</f>
        <v>0</v>
      </c>
      <c r="AW63" s="57"/>
      <c r="AX63" s="39">
        <f t="shared" ref="AX63" si="434">AW63*AR63</f>
        <v>0</v>
      </c>
      <c r="AY63" s="57"/>
      <c r="AZ63" s="39">
        <f t="shared" ref="AZ63" si="435">AY63*AR63</f>
        <v>0</v>
      </c>
      <c r="BA63" s="55"/>
      <c r="BB63" s="56"/>
      <c r="BC63" s="37">
        <f t="shared" ref="BC63" si="436">BB63*$F63</f>
        <v>0</v>
      </c>
      <c r="BD63" s="57"/>
      <c r="BE63" s="39">
        <f t="shared" ref="BE63" si="437">BD63*BC63</f>
        <v>0</v>
      </c>
      <c r="BF63" s="57"/>
      <c r="BG63" s="39">
        <f t="shared" ref="BG63" si="438">BF63*BC63</f>
        <v>0</v>
      </c>
      <c r="BH63" s="57"/>
      <c r="BI63" s="39">
        <f t="shared" ref="BI63" si="439">BH63*BC63</f>
        <v>0</v>
      </c>
      <c r="BJ63" s="57"/>
      <c r="BK63" s="39">
        <f t="shared" ref="BK63" si="440">BJ63*BC63</f>
        <v>0</v>
      </c>
      <c r="BL63" s="55"/>
      <c r="BM63" s="56">
        <v>1</v>
      </c>
      <c r="BN63" s="37">
        <f t="shared" ref="BN63" si="441">BM63*$F63</f>
        <v>-16255.43596979643</v>
      </c>
      <c r="BO63" s="57"/>
      <c r="BP63" s="39">
        <f t="shared" ref="BP63" si="442">BO63*BN63</f>
        <v>0</v>
      </c>
      <c r="BQ63" s="57"/>
      <c r="BR63" s="39">
        <f t="shared" ref="BR63" si="443">BQ63*BN63</f>
        <v>0</v>
      </c>
      <c r="BS63" s="57"/>
      <c r="BT63" s="39">
        <f t="shared" ref="BT63" si="444">BS63*BN63</f>
        <v>0</v>
      </c>
      <c r="BU63" s="57"/>
      <c r="BV63" s="39">
        <f t="shared" ref="BV63" si="445">BU63*BN63</f>
        <v>0</v>
      </c>
      <c r="BW63" s="55"/>
      <c r="BX63" s="56"/>
      <c r="BY63" s="37">
        <f t="shared" ref="BY63" si="446">BX63*$F63</f>
        <v>0</v>
      </c>
      <c r="BZ63" s="57"/>
      <c r="CA63" s="39">
        <f t="shared" ref="CA63" si="447">BZ63*BY63</f>
        <v>0</v>
      </c>
      <c r="CB63" s="57"/>
      <c r="CC63" s="39">
        <f t="shared" ref="CC63" si="448">CB63*BY63</f>
        <v>0</v>
      </c>
      <c r="CD63" s="57"/>
      <c r="CE63" s="39">
        <f t="shared" ref="CE63" si="449">CD63*BY63</f>
        <v>0</v>
      </c>
      <c r="CF63" s="57"/>
      <c r="CG63" s="39">
        <f t="shared" ref="CG63" si="450">CF63*BY63</f>
        <v>0</v>
      </c>
      <c r="CH63" s="55"/>
      <c r="CI63" s="56"/>
      <c r="CJ63" s="37">
        <f t="shared" ref="CJ63" si="451">CI63*$F63</f>
        <v>0</v>
      </c>
      <c r="CK63" s="57"/>
      <c r="CL63" s="39">
        <f t="shared" ref="CL63" si="452">CK63*CJ63</f>
        <v>0</v>
      </c>
      <c r="CM63" s="57"/>
      <c r="CN63" s="39">
        <f t="shared" ref="CN63" si="453">CM63*CJ63</f>
        <v>0</v>
      </c>
      <c r="CO63" s="57"/>
      <c r="CP63" s="39">
        <f t="shared" ref="CP63" si="454">CO63*CJ63</f>
        <v>0</v>
      </c>
      <c r="CQ63" s="57"/>
      <c r="CR63" s="39">
        <f t="shared" ref="CR63" si="455">CQ63*CJ63</f>
        <v>0</v>
      </c>
      <c r="CS63" s="41">
        <f t="shared" si="371"/>
        <v>-16255.43596979643</v>
      </c>
      <c r="CT63" s="41">
        <f t="shared" si="372"/>
        <v>-16255.43596979643</v>
      </c>
      <c r="CU63" s="41" t="e">
        <f>M63+O63+Q63+S63+#REF!+X63+Z63+AB63+AD63+#REF!+AI63+AK63+AM63+AO63+#REF!+AT63+AV63+AX63+AZ63+#REF!+BE63+BG63+BI63+BK63+#REF!+BP63+BR63+BT63+BV63+#REF!+CA63+CC63+CE63+CG63+#REF!+CL63+CN63+CP63+CR63+#REF!</f>
        <v>#REF!</v>
      </c>
      <c r="CV63" s="16" t="e">
        <f t="shared" ref="CV63" si="456">IF(AND(CS63=CT63,CT63=CU63,CS63=CU63),0,1)</f>
        <v>#REF!</v>
      </c>
    </row>
    <row r="64" spans="1:100" x14ac:dyDescent="0.25">
      <c r="B64" s="46"/>
      <c r="C64" s="42"/>
      <c r="D64" s="43"/>
      <c r="E64" s="34"/>
      <c r="F64" s="102"/>
      <c r="G64" s="40"/>
      <c r="H64" s="162">
        <v>0</v>
      </c>
      <c r="I64" s="40"/>
      <c r="J64" s="36"/>
      <c r="K64" s="37"/>
      <c r="L64" s="38"/>
      <c r="M64" s="39"/>
      <c r="N64" s="38"/>
      <c r="O64" s="39"/>
      <c r="P64" s="38"/>
      <c r="Q64" s="39"/>
      <c r="R64" s="38"/>
      <c r="S64" s="39"/>
      <c r="T64" s="40"/>
      <c r="U64" s="36"/>
      <c r="V64" s="37"/>
      <c r="W64" s="38"/>
      <c r="X64" s="39"/>
      <c r="Y64" s="38"/>
      <c r="Z64" s="39"/>
      <c r="AA64" s="38"/>
      <c r="AB64" s="39"/>
      <c r="AC64" s="38"/>
      <c r="AD64" s="39"/>
      <c r="AE64" s="40"/>
      <c r="AF64" s="36"/>
      <c r="AG64" s="37"/>
      <c r="AH64" s="38"/>
      <c r="AI64" s="39"/>
      <c r="AJ64" s="38"/>
      <c r="AK64" s="39"/>
      <c r="AL64" s="38"/>
      <c r="AM64" s="39"/>
      <c r="AN64" s="38"/>
      <c r="AO64" s="39"/>
      <c r="AP64" s="40"/>
      <c r="AQ64" s="36"/>
      <c r="AR64" s="37"/>
      <c r="AS64" s="38"/>
      <c r="AT64" s="39"/>
      <c r="AU64" s="38"/>
      <c r="AV64" s="39"/>
      <c r="AW64" s="38"/>
      <c r="AX64" s="39"/>
      <c r="AY64" s="38"/>
      <c r="AZ64" s="39"/>
      <c r="BA64" s="40"/>
      <c r="BB64" s="36"/>
      <c r="BC64" s="37"/>
      <c r="BD64" s="38"/>
      <c r="BE64" s="39"/>
      <c r="BF64" s="38"/>
      <c r="BG64" s="39"/>
      <c r="BH64" s="38"/>
      <c r="BI64" s="39"/>
      <c r="BJ64" s="38"/>
      <c r="BK64" s="39"/>
      <c r="BL64" s="40"/>
      <c r="BM64" s="36"/>
      <c r="BN64" s="37"/>
      <c r="BO64" s="38"/>
      <c r="BP64" s="39"/>
      <c r="BQ64" s="38"/>
      <c r="BR64" s="39"/>
      <c r="BS64" s="38"/>
      <c r="BT64" s="39"/>
      <c r="BU64" s="38"/>
      <c r="BV64" s="39"/>
      <c r="BW64" s="40"/>
      <c r="BX64" s="36"/>
      <c r="BY64" s="37"/>
      <c r="BZ64" s="38"/>
      <c r="CA64" s="39"/>
      <c r="CB64" s="38"/>
      <c r="CC64" s="39"/>
      <c r="CD64" s="38"/>
      <c r="CE64" s="39"/>
      <c r="CF64" s="38"/>
      <c r="CG64" s="39"/>
      <c r="CH64" s="40"/>
      <c r="CI64" s="36"/>
      <c r="CJ64" s="37"/>
      <c r="CK64" s="38"/>
      <c r="CL64" s="39"/>
      <c r="CM64" s="38"/>
      <c r="CN64" s="39"/>
      <c r="CO64" s="38"/>
      <c r="CP64" s="39"/>
      <c r="CQ64" s="38"/>
      <c r="CR64" s="39"/>
      <c r="CS64" s="41"/>
      <c r="CT64" s="41"/>
      <c r="CU64" s="41"/>
      <c r="CV64" s="16"/>
    </row>
    <row r="65" spans="1:100" x14ac:dyDescent="0.25">
      <c r="A65" s="1" t="s">
        <v>211</v>
      </c>
      <c r="C65" s="45"/>
      <c r="D65" s="43"/>
      <c r="E65" s="50"/>
      <c r="F65" s="102">
        <f t="shared" ref="F65" si="457">D65*E65</f>
        <v>0</v>
      </c>
      <c r="G65" s="40"/>
      <c r="H65" s="162">
        <v>0</v>
      </c>
      <c r="I65" s="40"/>
      <c r="J65" s="36"/>
      <c r="K65" s="37">
        <f t="shared" ref="K65:K70" si="458">J65*$F65</f>
        <v>0</v>
      </c>
      <c r="L65" s="38"/>
      <c r="M65" s="39">
        <f t="shared" ref="M65:M70" si="459">L65*K65</f>
        <v>0</v>
      </c>
      <c r="N65" s="38"/>
      <c r="O65" s="39">
        <f t="shared" ref="O65:O70" si="460">N65*K65</f>
        <v>0</v>
      </c>
      <c r="P65" s="38"/>
      <c r="Q65" s="39">
        <f t="shared" ref="Q65" si="461">P65*K65</f>
        <v>0</v>
      </c>
      <c r="R65" s="38"/>
      <c r="S65" s="39">
        <f t="shared" ref="S65:S70" si="462">R65*K65</f>
        <v>0</v>
      </c>
      <c r="T65" s="40"/>
      <c r="U65" s="36"/>
      <c r="V65" s="37">
        <f t="shared" ref="V65:V70" si="463">U65*$F65</f>
        <v>0</v>
      </c>
      <c r="W65" s="38"/>
      <c r="X65" s="39">
        <f t="shared" ref="X65:X70" si="464">W65*V65</f>
        <v>0</v>
      </c>
      <c r="Y65" s="38"/>
      <c r="Z65" s="39">
        <f t="shared" ref="Z65:Z70" si="465">Y65*V65</f>
        <v>0</v>
      </c>
      <c r="AA65" s="38"/>
      <c r="AB65" s="39">
        <f t="shared" ref="AB65" si="466">AA65*V65</f>
        <v>0</v>
      </c>
      <c r="AC65" s="38"/>
      <c r="AD65" s="39">
        <f t="shared" ref="AD65:AD70" si="467">AC65*V65</f>
        <v>0</v>
      </c>
      <c r="AE65" s="40"/>
      <c r="AF65" s="36"/>
      <c r="AG65" s="37">
        <f t="shared" ref="AG65:AG70" si="468">AF65*$F65</f>
        <v>0</v>
      </c>
      <c r="AH65" s="38"/>
      <c r="AI65" s="39">
        <f t="shared" ref="AI65:AI70" si="469">AH65*AG65</f>
        <v>0</v>
      </c>
      <c r="AJ65" s="38"/>
      <c r="AK65" s="39">
        <f t="shared" ref="AK65:AK70" si="470">AJ65*AG65</f>
        <v>0</v>
      </c>
      <c r="AL65" s="38"/>
      <c r="AM65" s="39">
        <f t="shared" ref="AM65" si="471">AL65*AG65</f>
        <v>0</v>
      </c>
      <c r="AN65" s="38"/>
      <c r="AO65" s="39">
        <f t="shared" ref="AO65:AO70" si="472">AN65*AG65</f>
        <v>0</v>
      </c>
      <c r="AP65" s="40"/>
      <c r="AQ65" s="36"/>
      <c r="AR65" s="37">
        <f t="shared" ref="AR65:AR70" si="473">AQ65*$F65</f>
        <v>0</v>
      </c>
      <c r="AS65" s="38"/>
      <c r="AT65" s="39">
        <f t="shared" ref="AT65:AT70" si="474">AS65*AR65</f>
        <v>0</v>
      </c>
      <c r="AU65" s="38"/>
      <c r="AV65" s="39">
        <f t="shared" ref="AV65:AV70" si="475">AU65*AR65</f>
        <v>0</v>
      </c>
      <c r="AW65" s="38"/>
      <c r="AX65" s="39">
        <f t="shared" ref="AX65" si="476">AW65*AR65</f>
        <v>0</v>
      </c>
      <c r="AY65" s="38"/>
      <c r="AZ65" s="39">
        <f t="shared" ref="AZ65:AZ70" si="477">AY65*AR65</f>
        <v>0</v>
      </c>
      <c r="BA65" s="40"/>
      <c r="BB65" s="36"/>
      <c r="BC65" s="37">
        <f t="shared" ref="BC65:BC70" si="478">BB65*$F65</f>
        <v>0</v>
      </c>
      <c r="BD65" s="38"/>
      <c r="BE65" s="39">
        <f t="shared" ref="BE65:BE70" si="479">BD65*BC65</f>
        <v>0</v>
      </c>
      <c r="BF65" s="38"/>
      <c r="BG65" s="39">
        <f t="shared" ref="BG65:BG70" si="480">BF65*BC65</f>
        <v>0</v>
      </c>
      <c r="BH65" s="38"/>
      <c r="BI65" s="39">
        <f t="shared" ref="BI65" si="481">BH65*BC65</f>
        <v>0</v>
      </c>
      <c r="BJ65" s="38"/>
      <c r="BK65" s="39">
        <f t="shared" ref="BK65:BK70" si="482">BJ65*BC65</f>
        <v>0</v>
      </c>
      <c r="BL65" s="40"/>
      <c r="BM65" s="36"/>
      <c r="BN65" s="37">
        <f t="shared" ref="BN65:BN70" si="483">BM65*$F65</f>
        <v>0</v>
      </c>
      <c r="BO65" s="38"/>
      <c r="BP65" s="39">
        <f t="shared" ref="BP65:BP70" si="484">BO65*BN65</f>
        <v>0</v>
      </c>
      <c r="BQ65" s="38"/>
      <c r="BR65" s="39">
        <f t="shared" ref="BR65:BR70" si="485">BQ65*BN65</f>
        <v>0</v>
      </c>
      <c r="BS65" s="38"/>
      <c r="BT65" s="39">
        <f t="shared" ref="BT65" si="486">BS65*BN65</f>
        <v>0</v>
      </c>
      <c r="BU65" s="38"/>
      <c r="BV65" s="39">
        <f t="shared" ref="BV65:BV70" si="487">BU65*BN65</f>
        <v>0</v>
      </c>
      <c r="BW65" s="40"/>
      <c r="BX65" s="36"/>
      <c r="BY65" s="37">
        <f t="shared" ref="BY65:BY70" si="488">BX65*$F65</f>
        <v>0</v>
      </c>
      <c r="BZ65" s="38"/>
      <c r="CA65" s="39">
        <f t="shared" ref="CA65:CA70" si="489">BZ65*BY65</f>
        <v>0</v>
      </c>
      <c r="CB65" s="38"/>
      <c r="CC65" s="39">
        <f t="shared" ref="CC65:CC70" si="490">CB65*BY65</f>
        <v>0</v>
      </c>
      <c r="CD65" s="38"/>
      <c r="CE65" s="39">
        <f t="shared" ref="CE65" si="491">CD65*BY65</f>
        <v>0</v>
      </c>
      <c r="CF65" s="38"/>
      <c r="CG65" s="39">
        <f t="shared" ref="CG65:CG70" si="492">CF65*BY65</f>
        <v>0</v>
      </c>
      <c r="CH65" s="40"/>
      <c r="CI65" s="36"/>
      <c r="CJ65" s="37">
        <f t="shared" ref="CJ65:CJ70" si="493">CI65*$F65</f>
        <v>0</v>
      </c>
      <c r="CK65" s="38"/>
      <c r="CL65" s="39">
        <f t="shared" ref="CL65:CL70" si="494">CK65*CJ65</f>
        <v>0</v>
      </c>
      <c r="CM65" s="38"/>
      <c r="CN65" s="39">
        <f t="shared" ref="CN65:CN70" si="495">CM65*CJ65</f>
        <v>0</v>
      </c>
      <c r="CO65" s="38"/>
      <c r="CP65" s="39">
        <f t="shared" ref="CP65" si="496">CO65*CJ65</f>
        <v>0</v>
      </c>
      <c r="CQ65" s="38"/>
      <c r="CR65" s="39">
        <f t="shared" ref="CR65:CR70" si="497">CQ65*CJ65</f>
        <v>0</v>
      </c>
      <c r="CS65" s="41">
        <f t="shared" ref="CS65:CS72" si="498">F65</f>
        <v>0</v>
      </c>
      <c r="CT65" s="41">
        <f t="shared" ref="CT65:CT72" si="499">K65+V65+AG65+AR65+BC65+BN65+BY65+CJ65</f>
        <v>0</v>
      </c>
      <c r="CU65" s="41" t="e">
        <f>M65+O65+Q65+S65+#REF!+X65+Z65+AB65+AD65+#REF!+AI65+AK65+AM65+AO65+#REF!+AT65+AV65+AX65+AZ65+#REF!+BE65+BG65+BI65+BK65+#REF!+BP65+BR65+BT65+BV65+#REF!+CA65+CC65+CE65+CG65+#REF!+CL65+CN65+CP65+CR65+#REF!</f>
        <v>#REF!</v>
      </c>
      <c r="CV65" s="16" t="e">
        <f t="shared" ref="CV65:CV72" si="500">IF(AND(CS65=CT65,CT65=CU65,CS65=CU65),0,1)</f>
        <v>#REF!</v>
      </c>
    </row>
    <row r="66" spans="1:100" x14ac:dyDescent="0.25">
      <c r="B66" s="44" t="s">
        <v>45</v>
      </c>
      <c r="C66" s="42" t="s">
        <v>33</v>
      </c>
      <c r="D66" s="53">
        <f>327-D70</f>
        <v>292</v>
      </c>
      <c r="E66" s="191">
        <f>H66*$K$106</f>
        <v>244.89599999999999</v>
      </c>
      <c r="F66" s="94">
        <f>D66*E66</f>
        <v>71509.631999999998</v>
      </c>
      <c r="G66" s="40"/>
      <c r="H66" s="162">
        <v>240</v>
      </c>
      <c r="I66" s="40"/>
      <c r="J66" s="36"/>
      <c r="K66" s="37">
        <f t="shared" si="458"/>
        <v>0</v>
      </c>
      <c r="L66" s="38"/>
      <c r="M66" s="39">
        <f t="shared" si="459"/>
        <v>0</v>
      </c>
      <c r="N66" s="38"/>
      <c r="O66" s="39">
        <f t="shared" si="460"/>
        <v>0</v>
      </c>
      <c r="P66" s="135"/>
      <c r="Q66" s="135"/>
      <c r="R66" s="38"/>
      <c r="S66" s="39">
        <f t="shared" si="462"/>
        <v>0</v>
      </c>
      <c r="T66" s="40"/>
      <c r="U66" s="36"/>
      <c r="V66" s="37">
        <f t="shared" si="463"/>
        <v>0</v>
      </c>
      <c r="W66" s="38"/>
      <c r="X66" s="39">
        <f t="shared" si="464"/>
        <v>0</v>
      </c>
      <c r="Y66" s="38"/>
      <c r="Z66" s="39">
        <f t="shared" si="465"/>
        <v>0</v>
      </c>
      <c r="AA66" s="135"/>
      <c r="AB66" s="135"/>
      <c r="AC66" s="38"/>
      <c r="AD66" s="39">
        <f t="shared" si="467"/>
        <v>0</v>
      </c>
      <c r="AE66" s="40"/>
      <c r="AF66" s="36">
        <v>0.6</v>
      </c>
      <c r="AG66" s="37">
        <f t="shared" si="468"/>
        <v>42905.779199999997</v>
      </c>
      <c r="AH66" s="38"/>
      <c r="AI66" s="39">
        <f t="shared" si="469"/>
        <v>0</v>
      </c>
      <c r="AJ66" s="38"/>
      <c r="AK66" s="39">
        <f t="shared" si="470"/>
        <v>0</v>
      </c>
      <c r="AL66" s="135"/>
      <c r="AM66" s="135"/>
      <c r="AN66" s="38">
        <v>1</v>
      </c>
      <c r="AO66" s="39">
        <f t="shared" si="472"/>
        <v>42905.779199999997</v>
      </c>
      <c r="AP66" s="40"/>
      <c r="AQ66" s="36">
        <v>0.2</v>
      </c>
      <c r="AR66" s="37">
        <f t="shared" si="473"/>
        <v>14301.9264</v>
      </c>
      <c r="AS66" s="38"/>
      <c r="AT66" s="39">
        <f t="shared" si="474"/>
        <v>0</v>
      </c>
      <c r="AU66" s="38"/>
      <c r="AV66" s="39">
        <f t="shared" si="475"/>
        <v>0</v>
      </c>
      <c r="AW66" s="135"/>
      <c r="AX66" s="135"/>
      <c r="AY66" s="38">
        <v>1</v>
      </c>
      <c r="AZ66" s="39">
        <f t="shared" si="477"/>
        <v>14301.9264</v>
      </c>
      <c r="BA66" s="40"/>
      <c r="BB66" s="36">
        <v>0.15</v>
      </c>
      <c r="BC66" s="37">
        <f t="shared" si="478"/>
        <v>10726.444799999999</v>
      </c>
      <c r="BD66" s="38"/>
      <c r="BE66" s="39">
        <f t="shared" si="479"/>
        <v>0</v>
      </c>
      <c r="BF66" s="38"/>
      <c r="BG66" s="39">
        <f t="shared" si="480"/>
        <v>0</v>
      </c>
      <c r="BH66" s="135"/>
      <c r="BI66" s="135"/>
      <c r="BJ66" s="38">
        <v>1</v>
      </c>
      <c r="BK66" s="39">
        <f t="shared" si="482"/>
        <v>10726.444799999999</v>
      </c>
      <c r="BL66" s="40"/>
      <c r="BM66" s="36">
        <v>0.05</v>
      </c>
      <c r="BN66" s="37">
        <f t="shared" si="483"/>
        <v>3575.4816000000001</v>
      </c>
      <c r="BO66" s="38"/>
      <c r="BP66" s="39">
        <f t="shared" si="484"/>
        <v>0</v>
      </c>
      <c r="BQ66" s="38"/>
      <c r="BR66" s="39">
        <f t="shared" si="485"/>
        <v>0</v>
      </c>
      <c r="BS66" s="135"/>
      <c r="BT66" s="135"/>
      <c r="BU66" s="38">
        <v>1</v>
      </c>
      <c r="BV66" s="39">
        <f t="shared" si="487"/>
        <v>3575.4816000000001</v>
      </c>
      <c r="BW66" s="40"/>
      <c r="BX66" s="36"/>
      <c r="BY66" s="37">
        <f t="shared" si="488"/>
        <v>0</v>
      </c>
      <c r="BZ66" s="38"/>
      <c r="CA66" s="39">
        <f t="shared" si="489"/>
        <v>0</v>
      </c>
      <c r="CB66" s="38"/>
      <c r="CC66" s="39">
        <f t="shared" si="490"/>
        <v>0</v>
      </c>
      <c r="CD66" s="135"/>
      <c r="CE66" s="135"/>
      <c r="CF66" s="38"/>
      <c r="CG66" s="39">
        <f t="shared" si="492"/>
        <v>0</v>
      </c>
      <c r="CH66" s="40"/>
      <c r="CI66" s="36"/>
      <c r="CJ66" s="37">
        <f t="shared" si="493"/>
        <v>0</v>
      </c>
      <c r="CK66" s="38"/>
      <c r="CL66" s="39">
        <f t="shared" si="494"/>
        <v>0</v>
      </c>
      <c r="CM66" s="38"/>
      <c r="CN66" s="39">
        <f t="shared" si="495"/>
        <v>0</v>
      </c>
      <c r="CO66" s="135"/>
      <c r="CP66" s="135"/>
      <c r="CQ66" s="38"/>
      <c r="CR66" s="39">
        <f t="shared" si="497"/>
        <v>0</v>
      </c>
      <c r="CS66" s="41">
        <f t="shared" si="498"/>
        <v>71509.631999999998</v>
      </c>
      <c r="CT66" s="41">
        <f t="shared" si="499"/>
        <v>71509.631999999998</v>
      </c>
      <c r="CU66" s="41" t="e">
        <f>M66+O66+Q66+S66+#REF!+X66+Z66+AB66+AD66+#REF!+AI66+AK66+AM66+AO66+#REF!+AT66+AV66+AX66+AZ66+#REF!+BE66+BG66+BI66+BK66+#REF!+BP66+BR66+BT66+BV66+#REF!+CA66+CC66+CE66+CG66+#REF!+CL66+CN66+CP66+CR66+#REF!</f>
        <v>#REF!</v>
      </c>
      <c r="CV66" s="16" t="e">
        <f t="shared" si="500"/>
        <v>#REF!</v>
      </c>
    </row>
    <row r="67" spans="1:100" x14ac:dyDescent="0.25">
      <c r="B67" s="44" t="s">
        <v>46</v>
      </c>
      <c r="C67" s="42" t="s">
        <v>33</v>
      </c>
      <c r="D67" s="53">
        <f>327-D72</f>
        <v>292</v>
      </c>
      <c r="E67" s="34">
        <f>$K$95</f>
        <v>-108.3695731319762</v>
      </c>
      <c r="F67" s="94">
        <f>D67*E67</f>
        <v>-31643.91535453705</v>
      </c>
      <c r="G67" s="40"/>
      <c r="H67" s="162">
        <v>-123.79</v>
      </c>
      <c r="I67" s="40"/>
      <c r="J67" s="36"/>
      <c r="K67" s="37">
        <f t="shared" si="458"/>
        <v>0</v>
      </c>
      <c r="L67" s="38"/>
      <c r="M67" s="39">
        <f t="shared" si="459"/>
        <v>0</v>
      </c>
      <c r="N67" s="38"/>
      <c r="O67" s="39">
        <f t="shared" si="460"/>
        <v>0</v>
      </c>
      <c r="P67" s="135"/>
      <c r="Q67" s="135"/>
      <c r="R67" s="38"/>
      <c r="S67" s="39">
        <f t="shared" si="462"/>
        <v>0</v>
      </c>
      <c r="T67" s="40"/>
      <c r="U67" s="36"/>
      <c r="V67" s="37">
        <f t="shared" si="463"/>
        <v>0</v>
      </c>
      <c r="W67" s="38"/>
      <c r="X67" s="39">
        <f t="shared" si="464"/>
        <v>0</v>
      </c>
      <c r="Y67" s="38"/>
      <c r="Z67" s="39">
        <f t="shared" si="465"/>
        <v>0</v>
      </c>
      <c r="AA67" s="135"/>
      <c r="AB67" s="135"/>
      <c r="AC67" s="38"/>
      <c r="AD67" s="39">
        <f t="shared" si="467"/>
        <v>0</v>
      </c>
      <c r="AE67" s="40"/>
      <c r="AF67" s="36">
        <v>0.6</v>
      </c>
      <c r="AG67" s="37">
        <f t="shared" si="468"/>
        <v>-18986.349212722231</v>
      </c>
      <c r="AH67" s="38"/>
      <c r="AI67" s="39">
        <f t="shared" si="469"/>
        <v>0</v>
      </c>
      <c r="AJ67" s="38"/>
      <c r="AK67" s="39">
        <f t="shared" si="470"/>
        <v>0</v>
      </c>
      <c r="AL67" s="135"/>
      <c r="AM67" s="135"/>
      <c r="AN67" s="38">
        <v>1</v>
      </c>
      <c r="AO67" s="39">
        <f t="shared" si="472"/>
        <v>-18986.349212722231</v>
      </c>
      <c r="AP67" s="40"/>
      <c r="AQ67" s="36">
        <v>0.25</v>
      </c>
      <c r="AR67" s="37">
        <f t="shared" si="473"/>
        <v>-7910.9788386342625</v>
      </c>
      <c r="AS67" s="38"/>
      <c r="AT67" s="39">
        <f t="shared" si="474"/>
        <v>0</v>
      </c>
      <c r="AU67" s="38"/>
      <c r="AV67" s="39">
        <f t="shared" si="475"/>
        <v>0</v>
      </c>
      <c r="AW67" s="135"/>
      <c r="AX67" s="135"/>
      <c r="AY67" s="38">
        <v>1</v>
      </c>
      <c r="AZ67" s="39">
        <f t="shared" si="477"/>
        <v>-7910.9788386342625</v>
      </c>
      <c r="BA67" s="40"/>
      <c r="BB67" s="36">
        <v>0.15</v>
      </c>
      <c r="BC67" s="37">
        <f t="shared" si="478"/>
        <v>-4746.5873031805577</v>
      </c>
      <c r="BD67" s="38"/>
      <c r="BE67" s="39">
        <f t="shared" si="479"/>
        <v>0</v>
      </c>
      <c r="BF67" s="38"/>
      <c r="BG67" s="39">
        <f t="shared" si="480"/>
        <v>0</v>
      </c>
      <c r="BH67" s="135"/>
      <c r="BI67" s="135"/>
      <c r="BJ67" s="38">
        <v>1</v>
      </c>
      <c r="BK67" s="39">
        <f t="shared" si="482"/>
        <v>-4746.5873031805577</v>
      </c>
      <c r="BL67" s="40"/>
      <c r="BM67" s="36"/>
      <c r="BN67" s="37">
        <f t="shared" si="483"/>
        <v>0</v>
      </c>
      <c r="BO67" s="38"/>
      <c r="BP67" s="39">
        <f t="shared" si="484"/>
        <v>0</v>
      </c>
      <c r="BQ67" s="38"/>
      <c r="BR67" s="39">
        <f t="shared" si="485"/>
        <v>0</v>
      </c>
      <c r="BS67" s="135"/>
      <c r="BT67" s="135"/>
      <c r="BU67" s="38"/>
      <c r="BV67" s="39">
        <f t="shared" si="487"/>
        <v>0</v>
      </c>
      <c r="BW67" s="40"/>
      <c r="BX67" s="36"/>
      <c r="BY67" s="37">
        <f t="shared" si="488"/>
        <v>0</v>
      </c>
      <c r="BZ67" s="38"/>
      <c r="CA67" s="39">
        <f t="shared" si="489"/>
        <v>0</v>
      </c>
      <c r="CB67" s="38"/>
      <c r="CC67" s="39">
        <f t="shared" si="490"/>
        <v>0</v>
      </c>
      <c r="CD67" s="135"/>
      <c r="CE67" s="135"/>
      <c r="CF67" s="38"/>
      <c r="CG67" s="39">
        <f t="shared" si="492"/>
        <v>0</v>
      </c>
      <c r="CH67" s="40"/>
      <c r="CI67" s="36"/>
      <c r="CJ67" s="37">
        <f t="shared" si="493"/>
        <v>0</v>
      </c>
      <c r="CK67" s="38"/>
      <c r="CL67" s="39">
        <f t="shared" si="494"/>
        <v>0</v>
      </c>
      <c r="CM67" s="38"/>
      <c r="CN67" s="39">
        <f t="shared" si="495"/>
        <v>0</v>
      </c>
      <c r="CO67" s="135"/>
      <c r="CP67" s="135"/>
      <c r="CQ67" s="38"/>
      <c r="CR67" s="39">
        <f t="shared" si="497"/>
        <v>0</v>
      </c>
      <c r="CS67" s="41">
        <f t="shared" si="498"/>
        <v>-31643.91535453705</v>
      </c>
      <c r="CT67" s="41">
        <f t="shared" si="499"/>
        <v>-31643.91535453705</v>
      </c>
      <c r="CU67" s="41" t="e">
        <f>M67+O67+Q67+S67+#REF!+X67+Z67+AB67+AD67+#REF!+AI67+AK67+AM67+AO67+#REF!+AT67+AV67+AX67+AZ67+#REF!+BE67+BG67+BI67+BK67+#REF!+BP67+BR67+BT67+BV67+#REF!+CA67+CC67+CE67+CG67+#REF!+CL67+CN67+CP67+CR67+#REF!</f>
        <v>#REF!</v>
      </c>
      <c r="CV67" s="16" t="e">
        <f t="shared" si="500"/>
        <v>#REF!</v>
      </c>
    </row>
    <row r="68" spans="1:100" x14ac:dyDescent="0.25">
      <c r="B68" s="46" t="s">
        <v>37</v>
      </c>
      <c r="C68" s="54" t="s">
        <v>36</v>
      </c>
      <c r="D68" s="118">
        <v>27795</v>
      </c>
      <c r="E68" s="47">
        <f>$K$97</f>
        <v>-0.31414430979039298</v>
      </c>
      <c r="F68" s="94">
        <v>-10289.281384615386</v>
      </c>
      <c r="G68" s="55"/>
      <c r="H68" s="162">
        <v>-0.37</v>
      </c>
      <c r="I68" s="55"/>
      <c r="J68" s="36"/>
      <c r="K68" s="37">
        <f t="shared" si="458"/>
        <v>0</v>
      </c>
      <c r="L68" s="38"/>
      <c r="M68" s="39">
        <f t="shared" si="459"/>
        <v>0</v>
      </c>
      <c r="N68" s="38"/>
      <c r="O68" s="39">
        <f t="shared" si="460"/>
        <v>0</v>
      </c>
      <c r="P68" s="135"/>
      <c r="Q68" s="135"/>
      <c r="R68" s="38"/>
      <c r="S68" s="39">
        <f t="shared" si="462"/>
        <v>0</v>
      </c>
      <c r="T68" s="40"/>
      <c r="U68" s="36"/>
      <c r="V68" s="37">
        <f t="shared" si="463"/>
        <v>0</v>
      </c>
      <c r="W68" s="38"/>
      <c r="X68" s="39">
        <f t="shared" si="464"/>
        <v>0</v>
      </c>
      <c r="Y68" s="38"/>
      <c r="Z68" s="39">
        <f t="shared" si="465"/>
        <v>0</v>
      </c>
      <c r="AA68" s="135"/>
      <c r="AB68" s="135"/>
      <c r="AC68" s="38"/>
      <c r="AD68" s="39">
        <f t="shared" si="467"/>
        <v>0</v>
      </c>
      <c r="AE68" s="40"/>
      <c r="AF68" s="36"/>
      <c r="AG68" s="37">
        <f t="shared" si="468"/>
        <v>0</v>
      </c>
      <c r="AH68" s="38"/>
      <c r="AI68" s="39">
        <f t="shared" si="469"/>
        <v>0</v>
      </c>
      <c r="AJ68" s="38"/>
      <c r="AK68" s="39">
        <f t="shared" si="470"/>
        <v>0</v>
      </c>
      <c r="AL68" s="135"/>
      <c r="AM68" s="135"/>
      <c r="AN68" s="38"/>
      <c r="AO68" s="39">
        <f t="shared" si="472"/>
        <v>0</v>
      </c>
      <c r="AP68" s="40"/>
      <c r="AQ68" s="36">
        <v>0.2</v>
      </c>
      <c r="AR68" s="37">
        <f t="shared" si="473"/>
        <v>-2057.8562769230771</v>
      </c>
      <c r="AS68" s="38"/>
      <c r="AT68" s="39">
        <f t="shared" si="474"/>
        <v>0</v>
      </c>
      <c r="AU68" s="38"/>
      <c r="AV68" s="39">
        <f t="shared" si="475"/>
        <v>0</v>
      </c>
      <c r="AW68" s="135"/>
      <c r="AX68" s="135"/>
      <c r="AY68" s="38">
        <v>1</v>
      </c>
      <c r="AZ68" s="39">
        <f t="shared" si="477"/>
        <v>-2057.8562769230771</v>
      </c>
      <c r="BA68" s="40"/>
      <c r="BB68" s="36"/>
      <c r="BC68" s="37">
        <f t="shared" si="478"/>
        <v>0</v>
      </c>
      <c r="BD68" s="38"/>
      <c r="BE68" s="39">
        <f t="shared" si="479"/>
        <v>0</v>
      </c>
      <c r="BF68" s="38"/>
      <c r="BG68" s="39">
        <f t="shared" si="480"/>
        <v>0</v>
      </c>
      <c r="BH68" s="135"/>
      <c r="BI68" s="135"/>
      <c r="BJ68" s="38"/>
      <c r="BK68" s="39">
        <f t="shared" si="482"/>
        <v>0</v>
      </c>
      <c r="BL68" s="40"/>
      <c r="BM68" s="36">
        <v>0.8</v>
      </c>
      <c r="BN68" s="37">
        <f t="shared" si="483"/>
        <v>-8231.4251076923083</v>
      </c>
      <c r="BO68" s="38"/>
      <c r="BP68" s="39">
        <f t="shared" si="484"/>
        <v>0</v>
      </c>
      <c r="BQ68" s="38"/>
      <c r="BR68" s="39">
        <f t="shared" si="485"/>
        <v>0</v>
      </c>
      <c r="BS68" s="135"/>
      <c r="BT68" s="135"/>
      <c r="BU68" s="38">
        <v>1</v>
      </c>
      <c r="BV68" s="39">
        <f t="shared" si="487"/>
        <v>-8231.4251076923083</v>
      </c>
      <c r="BW68" s="40"/>
      <c r="BX68" s="36"/>
      <c r="BY68" s="37">
        <f t="shared" si="488"/>
        <v>0</v>
      </c>
      <c r="BZ68" s="38"/>
      <c r="CA68" s="39">
        <f t="shared" si="489"/>
        <v>0</v>
      </c>
      <c r="CB68" s="38"/>
      <c r="CC68" s="39">
        <f t="shared" si="490"/>
        <v>0</v>
      </c>
      <c r="CD68" s="135"/>
      <c r="CE68" s="135"/>
      <c r="CF68" s="38"/>
      <c r="CG68" s="39">
        <f t="shared" si="492"/>
        <v>0</v>
      </c>
      <c r="CH68" s="40"/>
      <c r="CI68" s="36"/>
      <c r="CJ68" s="37">
        <f t="shared" si="493"/>
        <v>0</v>
      </c>
      <c r="CK68" s="38"/>
      <c r="CL68" s="39">
        <f t="shared" si="494"/>
        <v>0</v>
      </c>
      <c r="CM68" s="38"/>
      <c r="CN68" s="39">
        <f t="shared" si="495"/>
        <v>0</v>
      </c>
      <c r="CO68" s="135"/>
      <c r="CP68" s="135"/>
      <c r="CQ68" s="38"/>
      <c r="CR68" s="39">
        <f t="shared" si="497"/>
        <v>0</v>
      </c>
      <c r="CS68" s="41">
        <f t="shared" si="498"/>
        <v>-10289.281384615386</v>
      </c>
      <c r="CT68" s="41">
        <f t="shared" si="499"/>
        <v>-10289.281384615386</v>
      </c>
      <c r="CU68" s="41" t="e">
        <f>M68+O68+Q68+S68+#REF!+X68+Z68+AB68+AD68+#REF!+AI68+AK68+AM68+AO68+#REF!+AT68+AV68+AX68+AZ68+#REF!+BE68+BG68+BI68+BK68+#REF!+BP68+BR68+BT68+BV68+#REF!+CA68+CC68+CE68+CG68+#REF!+CL68+CN68+CP68+CR68+#REF!</f>
        <v>#REF!</v>
      </c>
      <c r="CV68" s="16" t="e">
        <f t="shared" si="500"/>
        <v>#REF!</v>
      </c>
    </row>
    <row r="69" spans="1:100" x14ac:dyDescent="0.25">
      <c r="B69" s="51" t="s">
        <v>41</v>
      </c>
      <c r="C69" s="54" t="s">
        <v>33</v>
      </c>
      <c r="D69" s="53">
        <v>12</v>
      </c>
      <c r="E69" s="191">
        <f>H69*$K$106</f>
        <v>66.325999999999993</v>
      </c>
      <c r="F69" s="94">
        <v>780</v>
      </c>
      <c r="G69" s="55"/>
      <c r="H69" s="162">
        <v>65</v>
      </c>
      <c r="I69" s="55"/>
      <c r="J69" s="36">
        <v>0.125</v>
      </c>
      <c r="K69" s="37">
        <f t="shared" si="458"/>
        <v>97.5</v>
      </c>
      <c r="L69" s="38"/>
      <c r="M69" s="39">
        <f t="shared" si="459"/>
        <v>0</v>
      </c>
      <c r="N69" s="38"/>
      <c r="O69" s="39">
        <f t="shared" si="460"/>
        <v>0</v>
      </c>
      <c r="P69" s="135"/>
      <c r="Q69" s="135"/>
      <c r="R69" s="38">
        <v>1</v>
      </c>
      <c r="S69" s="39">
        <f t="shared" si="462"/>
        <v>97.5</v>
      </c>
      <c r="T69" s="40"/>
      <c r="U69" s="36">
        <v>0.125</v>
      </c>
      <c r="V69" s="37">
        <f t="shared" si="463"/>
        <v>97.5</v>
      </c>
      <c r="W69" s="38"/>
      <c r="X69" s="39">
        <f t="shared" si="464"/>
        <v>0</v>
      </c>
      <c r="Y69" s="38"/>
      <c r="Z69" s="39">
        <f t="shared" si="465"/>
        <v>0</v>
      </c>
      <c r="AA69" s="135"/>
      <c r="AB69" s="135"/>
      <c r="AC69" s="38">
        <v>1</v>
      </c>
      <c r="AD69" s="39">
        <f t="shared" si="467"/>
        <v>97.5</v>
      </c>
      <c r="AE69" s="40"/>
      <c r="AF69" s="36">
        <v>0.125</v>
      </c>
      <c r="AG69" s="37">
        <f t="shared" si="468"/>
        <v>97.5</v>
      </c>
      <c r="AH69" s="38"/>
      <c r="AI69" s="39">
        <f t="shared" si="469"/>
        <v>0</v>
      </c>
      <c r="AJ69" s="38"/>
      <c r="AK69" s="39">
        <f t="shared" si="470"/>
        <v>0</v>
      </c>
      <c r="AL69" s="135"/>
      <c r="AM69" s="135"/>
      <c r="AN69" s="38">
        <v>1</v>
      </c>
      <c r="AO69" s="39">
        <f t="shared" si="472"/>
        <v>97.5</v>
      </c>
      <c r="AP69" s="40"/>
      <c r="AQ69" s="36">
        <v>0.125</v>
      </c>
      <c r="AR69" s="37">
        <f t="shared" si="473"/>
        <v>97.5</v>
      </c>
      <c r="AS69" s="38"/>
      <c r="AT69" s="39">
        <f t="shared" si="474"/>
        <v>0</v>
      </c>
      <c r="AU69" s="38"/>
      <c r="AV69" s="39">
        <f t="shared" si="475"/>
        <v>0</v>
      </c>
      <c r="AW69" s="135"/>
      <c r="AX69" s="135"/>
      <c r="AY69" s="38">
        <v>1</v>
      </c>
      <c r="AZ69" s="39">
        <f t="shared" si="477"/>
        <v>97.5</v>
      </c>
      <c r="BA69" s="40"/>
      <c r="BB69" s="36">
        <v>0.125</v>
      </c>
      <c r="BC69" s="37">
        <f t="shared" si="478"/>
        <v>97.5</v>
      </c>
      <c r="BD69" s="38"/>
      <c r="BE69" s="39">
        <f t="shared" si="479"/>
        <v>0</v>
      </c>
      <c r="BF69" s="38"/>
      <c r="BG69" s="39">
        <f t="shared" si="480"/>
        <v>0</v>
      </c>
      <c r="BH69" s="135"/>
      <c r="BI69" s="135"/>
      <c r="BJ69" s="38">
        <v>1</v>
      </c>
      <c r="BK69" s="39">
        <f t="shared" si="482"/>
        <v>97.5</v>
      </c>
      <c r="BL69" s="40"/>
      <c r="BM69" s="36">
        <v>0.125</v>
      </c>
      <c r="BN69" s="37">
        <f t="shared" si="483"/>
        <v>97.5</v>
      </c>
      <c r="BO69" s="38"/>
      <c r="BP69" s="39">
        <f t="shared" si="484"/>
        <v>0</v>
      </c>
      <c r="BQ69" s="38"/>
      <c r="BR69" s="39">
        <f t="shared" si="485"/>
        <v>0</v>
      </c>
      <c r="BS69" s="135"/>
      <c r="BT69" s="135"/>
      <c r="BU69" s="38">
        <v>1</v>
      </c>
      <c r="BV69" s="39">
        <f t="shared" si="487"/>
        <v>97.5</v>
      </c>
      <c r="BW69" s="40"/>
      <c r="BX69" s="36">
        <v>0.125</v>
      </c>
      <c r="BY69" s="37">
        <f t="shared" si="488"/>
        <v>97.5</v>
      </c>
      <c r="BZ69" s="38"/>
      <c r="CA69" s="39">
        <f t="shared" si="489"/>
        <v>0</v>
      </c>
      <c r="CB69" s="38"/>
      <c r="CC69" s="39">
        <f t="shared" si="490"/>
        <v>0</v>
      </c>
      <c r="CD69" s="135"/>
      <c r="CE69" s="135"/>
      <c r="CF69" s="38">
        <v>1</v>
      </c>
      <c r="CG69" s="39">
        <f t="shared" si="492"/>
        <v>97.5</v>
      </c>
      <c r="CH69" s="40"/>
      <c r="CI69" s="36">
        <v>0.125</v>
      </c>
      <c r="CJ69" s="37">
        <f t="shared" si="493"/>
        <v>97.5</v>
      </c>
      <c r="CK69" s="38"/>
      <c r="CL69" s="39">
        <f t="shared" si="494"/>
        <v>0</v>
      </c>
      <c r="CM69" s="38"/>
      <c r="CN69" s="39">
        <f t="shared" si="495"/>
        <v>0</v>
      </c>
      <c r="CO69" s="135"/>
      <c r="CP69" s="135"/>
      <c r="CQ69" s="38">
        <v>1</v>
      </c>
      <c r="CR69" s="39">
        <f t="shared" si="497"/>
        <v>97.5</v>
      </c>
      <c r="CS69" s="41">
        <f t="shared" si="498"/>
        <v>780</v>
      </c>
      <c r="CT69" s="41">
        <f t="shared" si="499"/>
        <v>780</v>
      </c>
      <c r="CU69" s="41" t="e">
        <f>M69+O69+Q69+S69+#REF!+X69+Z69+AB69+AD69+#REF!+AI69+AK69+AM69+AO69+#REF!+AT69+AV69+AX69+AZ69+#REF!+BE69+BG69+BI69+BK69+#REF!+BP69+BR69+BT69+BV69+#REF!+CA69+CC69+CE69+CG69+#REF!+CL69+CN69+CP69+CR69+#REF!</f>
        <v>#REF!</v>
      </c>
      <c r="CV69" s="16" t="e">
        <f t="shared" si="500"/>
        <v>#REF!</v>
      </c>
    </row>
    <row r="70" spans="1:100" x14ac:dyDescent="0.25">
      <c r="B70" s="99" t="s">
        <v>144</v>
      </c>
      <c r="C70" s="100" t="s">
        <v>33</v>
      </c>
      <c r="D70" s="101">
        <v>35</v>
      </c>
      <c r="E70" s="191">
        <f>H70*$K$106</f>
        <v>244.89599999999999</v>
      </c>
      <c r="F70" s="94">
        <f>D70*E70</f>
        <v>8571.3599999999988</v>
      </c>
      <c r="G70" s="55"/>
      <c r="H70" s="162">
        <v>240</v>
      </c>
      <c r="I70" s="55"/>
      <c r="J70" s="36"/>
      <c r="K70" s="37">
        <f t="shared" si="458"/>
        <v>0</v>
      </c>
      <c r="L70" s="38"/>
      <c r="M70" s="39">
        <f t="shared" si="459"/>
        <v>0</v>
      </c>
      <c r="N70" s="38"/>
      <c r="O70" s="39">
        <f t="shared" si="460"/>
        <v>0</v>
      </c>
      <c r="P70" s="135"/>
      <c r="Q70" s="135"/>
      <c r="R70" s="38"/>
      <c r="S70" s="39">
        <f t="shared" si="462"/>
        <v>0</v>
      </c>
      <c r="T70" s="40"/>
      <c r="U70" s="36"/>
      <c r="V70" s="37">
        <f t="shared" si="463"/>
        <v>0</v>
      </c>
      <c r="W70" s="38"/>
      <c r="X70" s="39">
        <f t="shared" si="464"/>
        <v>0</v>
      </c>
      <c r="Y70" s="38"/>
      <c r="Z70" s="39">
        <f t="shared" si="465"/>
        <v>0</v>
      </c>
      <c r="AA70" s="135"/>
      <c r="AB70" s="135"/>
      <c r="AC70" s="38"/>
      <c r="AD70" s="39">
        <f t="shared" si="467"/>
        <v>0</v>
      </c>
      <c r="AE70" s="40"/>
      <c r="AF70" s="36"/>
      <c r="AG70" s="37">
        <f t="shared" si="468"/>
        <v>0</v>
      </c>
      <c r="AH70" s="38"/>
      <c r="AI70" s="39">
        <f t="shared" si="469"/>
        <v>0</v>
      </c>
      <c r="AJ70" s="38"/>
      <c r="AK70" s="39">
        <f t="shared" si="470"/>
        <v>0</v>
      </c>
      <c r="AL70" s="135"/>
      <c r="AM70" s="135"/>
      <c r="AN70" s="38"/>
      <c r="AO70" s="39">
        <f t="shared" si="472"/>
        <v>0</v>
      </c>
      <c r="AP70" s="40"/>
      <c r="AQ70" s="36"/>
      <c r="AR70" s="37">
        <f t="shared" si="473"/>
        <v>0</v>
      </c>
      <c r="AS70" s="38"/>
      <c r="AT70" s="39">
        <f t="shared" si="474"/>
        <v>0</v>
      </c>
      <c r="AU70" s="38"/>
      <c r="AV70" s="39">
        <f t="shared" si="475"/>
        <v>0</v>
      </c>
      <c r="AW70" s="135"/>
      <c r="AX70" s="135"/>
      <c r="AY70" s="38"/>
      <c r="AZ70" s="39">
        <f t="shared" si="477"/>
        <v>0</v>
      </c>
      <c r="BA70" s="40"/>
      <c r="BB70" s="36"/>
      <c r="BC70" s="37">
        <f t="shared" si="478"/>
        <v>0</v>
      </c>
      <c r="BD70" s="38"/>
      <c r="BE70" s="39">
        <f t="shared" si="479"/>
        <v>0</v>
      </c>
      <c r="BF70" s="38"/>
      <c r="BG70" s="39">
        <f t="shared" si="480"/>
        <v>0</v>
      </c>
      <c r="BH70" s="135"/>
      <c r="BI70" s="135"/>
      <c r="BJ70" s="38"/>
      <c r="BK70" s="39">
        <f t="shared" si="482"/>
        <v>0</v>
      </c>
      <c r="BL70" s="40"/>
      <c r="BM70" s="36">
        <v>1</v>
      </c>
      <c r="BN70" s="37">
        <f t="shared" si="483"/>
        <v>8571.3599999999988</v>
      </c>
      <c r="BO70" s="38"/>
      <c r="BP70" s="39">
        <f t="shared" si="484"/>
        <v>0</v>
      </c>
      <c r="BQ70" s="38"/>
      <c r="BR70" s="39">
        <f t="shared" si="485"/>
        <v>0</v>
      </c>
      <c r="BS70" s="135"/>
      <c r="BT70" s="135"/>
      <c r="BU70" s="38">
        <v>1</v>
      </c>
      <c r="BV70" s="39">
        <f t="shared" si="487"/>
        <v>8571.3599999999988</v>
      </c>
      <c r="BW70" s="40"/>
      <c r="BX70" s="36"/>
      <c r="BY70" s="37">
        <f t="shared" si="488"/>
        <v>0</v>
      </c>
      <c r="BZ70" s="38"/>
      <c r="CA70" s="39">
        <f t="shared" si="489"/>
        <v>0</v>
      </c>
      <c r="CB70" s="38"/>
      <c r="CC70" s="39">
        <f t="shared" si="490"/>
        <v>0</v>
      </c>
      <c r="CD70" s="135"/>
      <c r="CE70" s="135"/>
      <c r="CF70" s="38"/>
      <c r="CG70" s="39">
        <f t="shared" si="492"/>
        <v>0</v>
      </c>
      <c r="CH70" s="40"/>
      <c r="CI70" s="36"/>
      <c r="CJ70" s="37">
        <f t="shared" si="493"/>
        <v>0</v>
      </c>
      <c r="CK70" s="38"/>
      <c r="CL70" s="39">
        <f t="shared" si="494"/>
        <v>0</v>
      </c>
      <c r="CM70" s="38"/>
      <c r="CN70" s="39">
        <f t="shared" si="495"/>
        <v>0</v>
      </c>
      <c r="CO70" s="135"/>
      <c r="CP70" s="135"/>
      <c r="CQ70" s="38"/>
      <c r="CR70" s="39">
        <f t="shared" si="497"/>
        <v>0</v>
      </c>
      <c r="CS70" s="41">
        <f t="shared" si="498"/>
        <v>8571.3599999999988</v>
      </c>
      <c r="CT70" s="41">
        <f t="shared" si="499"/>
        <v>8571.3599999999988</v>
      </c>
      <c r="CU70" s="41" t="e">
        <f>M70+O70+Q70+S70+#REF!+X70+Z70+AB70+AD70+#REF!+AI70+AK70+AM70+AO70+#REF!+AT70+AV70+AX70+AZ70+#REF!+BE70+BG70+BI70+BK70+#REF!+BP70+BR70+BT70+BV70+#REF!+CA70+CC70+CE70+CG70+#REF!+CL70+CN70+CP70+CR70+#REF!</f>
        <v>#REF!</v>
      </c>
      <c r="CV70" s="16" t="e">
        <f t="shared" si="500"/>
        <v>#REF!</v>
      </c>
    </row>
    <row r="71" spans="1:100" x14ac:dyDescent="0.25">
      <c r="B71" s="99" t="s">
        <v>163</v>
      </c>
      <c r="C71" s="100" t="s">
        <v>36</v>
      </c>
      <c r="D71" s="101">
        <f>F71/E71</f>
        <v>51360.031156467427</v>
      </c>
      <c r="E71" s="47">
        <f>$K$97</f>
        <v>-0.31414430979039298</v>
      </c>
      <c r="F71" s="94">
        <v>-16134.461538461539</v>
      </c>
      <c r="G71" s="55"/>
      <c r="H71" s="162">
        <v>-0.37</v>
      </c>
      <c r="I71" s="55"/>
      <c r="J71" s="36"/>
      <c r="K71" s="37">
        <f t="shared" ref="K71:K72" si="501">J71*$F71</f>
        <v>0</v>
      </c>
      <c r="L71" s="38"/>
      <c r="M71" s="39">
        <f t="shared" ref="M71:M72" si="502">L71*K71</f>
        <v>0</v>
      </c>
      <c r="N71" s="38"/>
      <c r="O71" s="39">
        <f t="shared" ref="O71:O72" si="503">N71*K71</f>
        <v>0</v>
      </c>
      <c r="P71" s="135"/>
      <c r="Q71" s="135"/>
      <c r="R71" s="38"/>
      <c r="S71" s="39">
        <f t="shared" ref="S71:S72" si="504">R71*K71</f>
        <v>0</v>
      </c>
      <c r="T71" s="40"/>
      <c r="U71" s="36"/>
      <c r="V71" s="37">
        <f t="shared" ref="V71:V72" si="505">U71*$F71</f>
        <v>0</v>
      </c>
      <c r="W71" s="38"/>
      <c r="X71" s="39">
        <f t="shared" ref="X71:X72" si="506">W71*V71</f>
        <v>0</v>
      </c>
      <c r="Y71" s="38"/>
      <c r="Z71" s="39">
        <f t="shared" ref="Z71:Z72" si="507">Y71*V71</f>
        <v>0</v>
      </c>
      <c r="AA71" s="135"/>
      <c r="AB71" s="135"/>
      <c r="AC71" s="38"/>
      <c r="AD71" s="39">
        <f t="shared" ref="AD71:AD72" si="508">AC71*V71</f>
        <v>0</v>
      </c>
      <c r="AE71" s="40"/>
      <c r="AF71" s="36"/>
      <c r="AG71" s="37">
        <f t="shared" ref="AG71:AG72" si="509">AF71*$F71</f>
        <v>0</v>
      </c>
      <c r="AH71" s="38"/>
      <c r="AI71" s="39">
        <f t="shared" ref="AI71:AI72" si="510">AH71*AG71</f>
        <v>0</v>
      </c>
      <c r="AJ71" s="38"/>
      <c r="AK71" s="39">
        <f t="shared" ref="AK71:AK72" si="511">AJ71*AG71</f>
        <v>0</v>
      </c>
      <c r="AL71" s="135"/>
      <c r="AM71" s="135"/>
      <c r="AN71" s="38"/>
      <c r="AO71" s="39">
        <f t="shared" ref="AO71:AO72" si="512">AN71*AG71</f>
        <v>0</v>
      </c>
      <c r="AP71" s="40"/>
      <c r="AQ71" s="36"/>
      <c r="AR71" s="37">
        <f t="shared" ref="AR71:AR72" si="513">AQ71*$F71</f>
        <v>0</v>
      </c>
      <c r="AS71" s="38"/>
      <c r="AT71" s="39">
        <f t="shared" ref="AT71:AT72" si="514">AS71*AR71</f>
        <v>0</v>
      </c>
      <c r="AU71" s="38"/>
      <c r="AV71" s="39">
        <f t="shared" ref="AV71:AV72" si="515">AU71*AR71</f>
        <v>0</v>
      </c>
      <c r="AW71" s="135"/>
      <c r="AX71" s="135"/>
      <c r="AY71" s="38"/>
      <c r="AZ71" s="39">
        <f t="shared" ref="AZ71:AZ72" si="516">AY71*AR71</f>
        <v>0</v>
      </c>
      <c r="BA71" s="40"/>
      <c r="BB71" s="36"/>
      <c r="BC71" s="37">
        <f t="shared" ref="BC71:BC72" si="517">BB71*$F71</f>
        <v>0</v>
      </c>
      <c r="BD71" s="38"/>
      <c r="BE71" s="39">
        <f t="shared" ref="BE71:BE72" si="518">BD71*BC71</f>
        <v>0</v>
      </c>
      <c r="BF71" s="38"/>
      <c r="BG71" s="39">
        <f t="shared" ref="BG71:BG72" si="519">BF71*BC71</f>
        <v>0</v>
      </c>
      <c r="BH71" s="135"/>
      <c r="BI71" s="135"/>
      <c r="BJ71" s="38"/>
      <c r="BK71" s="39">
        <f t="shared" ref="BK71:BK72" si="520">BJ71*BC71</f>
        <v>0</v>
      </c>
      <c r="BL71" s="40"/>
      <c r="BM71" s="36">
        <v>1</v>
      </c>
      <c r="BN71" s="37">
        <f t="shared" ref="BN71:BN72" si="521">BM71*$F71</f>
        <v>-16134.461538461539</v>
      </c>
      <c r="BO71" s="38"/>
      <c r="BP71" s="39">
        <f t="shared" ref="BP71:BP72" si="522">BO71*BN71</f>
        <v>0</v>
      </c>
      <c r="BQ71" s="38"/>
      <c r="BR71" s="39">
        <f t="shared" ref="BR71:BR72" si="523">BQ71*BN71</f>
        <v>0</v>
      </c>
      <c r="BS71" s="135"/>
      <c r="BT71" s="135"/>
      <c r="BU71" s="38">
        <v>1</v>
      </c>
      <c r="BV71" s="39">
        <f t="shared" ref="BV71:BV72" si="524">BU71*BN71</f>
        <v>-16134.461538461539</v>
      </c>
      <c r="BW71" s="40"/>
      <c r="BX71" s="36"/>
      <c r="BY71" s="37">
        <f t="shared" ref="BY71:BY72" si="525">BX71*$F71</f>
        <v>0</v>
      </c>
      <c r="BZ71" s="38"/>
      <c r="CA71" s="39">
        <f t="shared" ref="CA71:CA72" si="526">BZ71*BY71</f>
        <v>0</v>
      </c>
      <c r="CB71" s="38"/>
      <c r="CC71" s="39">
        <f t="shared" ref="CC71:CC72" si="527">CB71*BY71</f>
        <v>0</v>
      </c>
      <c r="CD71" s="135"/>
      <c r="CE71" s="135"/>
      <c r="CF71" s="38"/>
      <c r="CG71" s="39">
        <f t="shared" ref="CG71:CG72" si="528">CF71*BY71</f>
        <v>0</v>
      </c>
      <c r="CH71" s="40"/>
      <c r="CI71" s="36"/>
      <c r="CJ71" s="37">
        <f t="shared" ref="CJ71:CJ72" si="529">CI71*$F71</f>
        <v>0</v>
      </c>
      <c r="CK71" s="38"/>
      <c r="CL71" s="39">
        <f t="shared" ref="CL71:CL72" si="530">CK71*CJ71</f>
        <v>0</v>
      </c>
      <c r="CM71" s="38"/>
      <c r="CN71" s="39">
        <f t="shared" ref="CN71:CN72" si="531">CM71*CJ71</f>
        <v>0</v>
      </c>
      <c r="CO71" s="135"/>
      <c r="CP71" s="135"/>
      <c r="CQ71" s="38"/>
      <c r="CR71" s="39">
        <f t="shared" ref="CR71:CR72" si="532">CQ71*CJ71</f>
        <v>0</v>
      </c>
      <c r="CS71" s="41">
        <f t="shared" si="498"/>
        <v>-16134.461538461539</v>
      </c>
      <c r="CT71" s="41">
        <f t="shared" si="499"/>
        <v>-16134.461538461539</v>
      </c>
      <c r="CU71" s="41" t="e">
        <f>M71+O71+Q71+S71+#REF!+X71+Z71+AB71+AD71+#REF!+AI71+AK71+AM71+AO71+#REF!+AT71+AV71+AX71+AZ71+#REF!+BE71+BG71+BI71+BK71+#REF!+BP71+BR71+BT71+BV71+#REF!+CA71+CC71+CE71+CG71+#REF!+CL71+CN71+CP71+CR71+#REF!</f>
        <v>#REF!</v>
      </c>
      <c r="CV71" s="16" t="e">
        <f t="shared" si="500"/>
        <v>#REF!</v>
      </c>
    </row>
    <row r="72" spans="1:100" x14ac:dyDescent="0.25">
      <c r="B72" s="99" t="s">
        <v>146</v>
      </c>
      <c r="C72" s="100" t="s">
        <v>33</v>
      </c>
      <c r="D72" s="101">
        <v>35</v>
      </c>
      <c r="E72" s="34">
        <f>$K$95</f>
        <v>-108.3695731319762</v>
      </c>
      <c r="F72" s="94">
        <f>D72*E72</f>
        <v>-3792.9350596191671</v>
      </c>
      <c r="G72" s="55"/>
      <c r="H72" s="162">
        <v>-123.79</v>
      </c>
      <c r="I72" s="55"/>
      <c r="J72" s="36"/>
      <c r="K72" s="37">
        <f t="shared" si="501"/>
        <v>0</v>
      </c>
      <c r="L72" s="38"/>
      <c r="M72" s="39">
        <f t="shared" si="502"/>
        <v>0</v>
      </c>
      <c r="N72" s="38"/>
      <c r="O72" s="39">
        <f t="shared" si="503"/>
        <v>0</v>
      </c>
      <c r="P72" s="135"/>
      <c r="Q72" s="135"/>
      <c r="R72" s="38"/>
      <c r="S72" s="39">
        <f t="shared" si="504"/>
        <v>0</v>
      </c>
      <c r="T72" s="40"/>
      <c r="U72" s="36"/>
      <c r="V72" s="37">
        <f t="shared" si="505"/>
        <v>0</v>
      </c>
      <c r="W72" s="38"/>
      <c r="X72" s="39">
        <f t="shared" si="506"/>
        <v>0</v>
      </c>
      <c r="Y72" s="38"/>
      <c r="Z72" s="39">
        <f t="shared" si="507"/>
        <v>0</v>
      </c>
      <c r="AA72" s="135"/>
      <c r="AB72" s="135"/>
      <c r="AC72" s="38"/>
      <c r="AD72" s="39">
        <f t="shared" si="508"/>
        <v>0</v>
      </c>
      <c r="AE72" s="40"/>
      <c r="AF72" s="36"/>
      <c r="AG72" s="37">
        <f t="shared" si="509"/>
        <v>0</v>
      </c>
      <c r="AH72" s="38"/>
      <c r="AI72" s="39">
        <f t="shared" si="510"/>
        <v>0</v>
      </c>
      <c r="AJ72" s="38"/>
      <c r="AK72" s="39">
        <f t="shared" si="511"/>
        <v>0</v>
      </c>
      <c r="AL72" s="135"/>
      <c r="AM72" s="135"/>
      <c r="AN72" s="38"/>
      <c r="AO72" s="39">
        <f t="shared" si="512"/>
        <v>0</v>
      </c>
      <c r="AP72" s="40"/>
      <c r="AQ72" s="36"/>
      <c r="AR72" s="37">
        <f t="shared" si="513"/>
        <v>0</v>
      </c>
      <c r="AS72" s="38"/>
      <c r="AT72" s="39">
        <f t="shared" si="514"/>
        <v>0</v>
      </c>
      <c r="AU72" s="38"/>
      <c r="AV72" s="39">
        <f t="shared" si="515"/>
        <v>0</v>
      </c>
      <c r="AW72" s="135"/>
      <c r="AX72" s="135"/>
      <c r="AY72" s="38"/>
      <c r="AZ72" s="39">
        <f t="shared" si="516"/>
        <v>0</v>
      </c>
      <c r="BA72" s="40"/>
      <c r="BB72" s="36"/>
      <c r="BC72" s="37">
        <f t="shared" si="517"/>
        <v>0</v>
      </c>
      <c r="BD72" s="38"/>
      <c r="BE72" s="39">
        <f t="shared" si="518"/>
        <v>0</v>
      </c>
      <c r="BF72" s="38"/>
      <c r="BG72" s="39">
        <f t="shared" si="519"/>
        <v>0</v>
      </c>
      <c r="BH72" s="135"/>
      <c r="BI72" s="135"/>
      <c r="BJ72" s="38"/>
      <c r="BK72" s="39">
        <f t="shared" si="520"/>
        <v>0</v>
      </c>
      <c r="BL72" s="40"/>
      <c r="BM72" s="36">
        <v>1</v>
      </c>
      <c r="BN72" s="37">
        <f t="shared" si="521"/>
        <v>-3792.9350596191671</v>
      </c>
      <c r="BO72" s="38"/>
      <c r="BP72" s="39">
        <f t="shared" si="522"/>
        <v>0</v>
      </c>
      <c r="BQ72" s="38"/>
      <c r="BR72" s="39">
        <f t="shared" si="523"/>
        <v>0</v>
      </c>
      <c r="BS72" s="135"/>
      <c r="BT72" s="135"/>
      <c r="BU72" s="38">
        <v>1</v>
      </c>
      <c r="BV72" s="39">
        <f t="shared" si="524"/>
        <v>-3792.9350596191671</v>
      </c>
      <c r="BW72" s="40"/>
      <c r="BX72" s="36"/>
      <c r="BY72" s="37">
        <f t="shared" si="525"/>
        <v>0</v>
      </c>
      <c r="BZ72" s="38"/>
      <c r="CA72" s="39">
        <f t="shared" si="526"/>
        <v>0</v>
      </c>
      <c r="CB72" s="38"/>
      <c r="CC72" s="39">
        <f t="shared" si="527"/>
        <v>0</v>
      </c>
      <c r="CD72" s="135"/>
      <c r="CE72" s="135"/>
      <c r="CF72" s="38"/>
      <c r="CG72" s="39">
        <f t="shared" si="528"/>
        <v>0</v>
      </c>
      <c r="CH72" s="40"/>
      <c r="CI72" s="36"/>
      <c r="CJ72" s="37">
        <f t="shared" si="529"/>
        <v>0</v>
      </c>
      <c r="CK72" s="38"/>
      <c r="CL72" s="39">
        <f t="shared" si="530"/>
        <v>0</v>
      </c>
      <c r="CM72" s="38"/>
      <c r="CN72" s="39">
        <f t="shared" si="531"/>
        <v>0</v>
      </c>
      <c r="CO72" s="135"/>
      <c r="CP72" s="135"/>
      <c r="CQ72" s="38"/>
      <c r="CR72" s="39">
        <f t="shared" si="532"/>
        <v>0</v>
      </c>
      <c r="CS72" s="41">
        <f t="shared" si="498"/>
        <v>-3792.9350596191671</v>
      </c>
      <c r="CT72" s="41">
        <f t="shared" si="499"/>
        <v>-3792.9350596191671</v>
      </c>
      <c r="CU72" s="41" t="e">
        <f>M72+O72+Q72+S72+#REF!+X72+Z72+AB72+AD72+#REF!+AI72+AK72+AM72+AO72+#REF!+AT72+AV72+AX72+AZ72+#REF!+BE72+BG72+BI72+BK72+#REF!+BP72+BR72+BT72+BV72+#REF!+CA72+CC72+CE72+CG72+#REF!+CL72+CN72+CP72+CR72+#REF!</f>
        <v>#REF!</v>
      </c>
      <c r="CV72" s="16" t="e">
        <f t="shared" si="500"/>
        <v>#REF!</v>
      </c>
    </row>
    <row r="73" spans="1:100" x14ac:dyDescent="0.25">
      <c r="B73" s="46"/>
      <c r="C73" s="42"/>
      <c r="D73" s="43"/>
      <c r="E73" s="34"/>
      <c r="F73" s="102"/>
      <c r="G73" s="40"/>
      <c r="H73" s="162">
        <v>0</v>
      </c>
      <c r="I73" s="40"/>
      <c r="J73" s="36"/>
      <c r="K73" s="37"/>
      <c r="L73" s="38"/>
      <c r="M73" s="39"/>
      <c r="N73" s="38"/>
      <c r="O73" s="39"/>
      <c r="P73" s="38"/>
      <c r="Q73" s="39"/>
      <c r="R73" s="38"/>
      <c r="S73" s="39"/>
      <c r="T73" s="40"/>
      <c r="U73" s="36"/>
      <c r="V73" s="37"/>
      <c r="W73" s="38"/>
      <c r="X73" s="39"/>
      <c r="Y73" s="38"/>
      <c r="Z73" s="39"/>
      <c r="AA73" s="38"/>
      <c r="AB73" s="39"/>
      <c r="AC73" s="38"/>
      <c r="AD73" s="39"/>
      <c r="AE73" s="40"/>
      <c r="AF73" s="36"/>
      <c r="AG73" s="37"/>
      <c r="AH73" s="38"/>
      <c r="AI73" s="39"/>
      <c r="AJ73" s="38"/>
      <c r="AK73" s="39"/>
      <c r="AL73" s="38"/>
      <c r="AM73" s="39"/>
      <c r="AN73" s="38"/>
      <c r="AO73" s="39"/>
      <c r="AP73" s="40"/>
      <c r="AQ73" s="36"/>
      <c r="AR73" s="37"/>
      <c r="AS73" s="38"/>
      <c r="AT73" s="39"/>
      <c r="AU73" s="38"/>
      <c r="AV73" s="39"/>
      <c r="AW73" s="38"/>
      <c r="AX73" s="39"/>
      <c r="AY73" s="38"/>
      <c r="AZ73" s="39"/>
      <c r="BA73" s="40"/>
      <c r="BB73" s="36"/>
      <c r="BC73" s="37"/>
      <c r="BD73" s="38"/>
      <c r="BE73" s="39"/>
      <c r="BF73" s="38"/>
      <c r="BG73" s="39"/>
      <c r="BH73" s="38"/>
      <c r="BI73" s="39"/>
      <c r="BJ73" s="38"/>
      <c r="BK73" s="39"/>
      <c r="BL73" s="40"/>
      <c r="BM73" s="36"/>
      <c r="BN73" s="37"/>
      <c r="BO73" s="38"/>
      <c r="BP73" s="39"/>
      <c r="BQ73" s="38"/>
      <c r="BR73" s="39"/>
      <c r="BS73" s="38"/>
      <c r="BT73" s="39"/>
      <c r="BU73" s="38"/>
      <c r="BV73" s="39"/>
      <c r="BW73" s="40"/>
      <c r="BX73" s="36"/>
      <c r="BY73" s="37"/>
      <c r="BZ73" s="38"/>
      <c r="CA73" s="39"/>
      <c r="CB73" s="38"/>
      <c r="CC73" s="39"/>
      <c r="CD73" s="38"/>
      <c r="CE73" s="39"/>
      <c r="CF73" s="38"/>
      <c r="CG73" s="39"/>
      <c r="CH73" s="40"/>
      <c r="CI73" s="36"/>
      <c r="CJ73" s="37"/>
      <c r="CK73" s="38"/>
      <c r="CL73" s="39"/>
      <c r="CM73" s="38"/>
      <c r="CN73" s="39"/>
      <c r="CO73" s="38"/>
      <c r="CP73" s="39"/>
      <c r="CQ73" s="38"/>
      <c r="CR73" s="39"/>
      <c r="CS73" s="41"/>
      <c r="CT73" s="41"/>
      <c r="CU73" s="41"/>
      <c r="CV73" s="16"/>
    </row>
    <row r="74" spans="1:100" x14ac:dyDescent="0.25">
      <c r="A74" s="1" t="s">
        <v>47</v>
      </c>
      <c r="B74" s="44"/>
      <c r="C74" s="54"/>
      <c r="D74" s="53"/>
      <c r="E74" s="34"/>
      <c r="F74" s="34">
        <v>0</v>
      </c>
      <c r="G74" s="55"/>
      <c r="H74" s="162">
        <v>0</v>
      </c>
      <c r="I74" s="55"/>
      <c r="J74" s="36"/>
      <c r="K74" s="37">
        <f t="shared" ref="K74:K77" si="533">J74*$F74</f>
        <v>0</v>
      </c>
      <c r="L74" s="38"/>
      <c r="M74" s="39">
        <f t="shared" ref="M74:M77" si="534">L74*K74</f>
        <v>0</v>
      </c>
      <c r="N74" s="38"/>
      <c r="O74" s="39">
        <f t="shared" ref="O74:O77" si="535">N74*K74</f>
        <v>0</v>
      </c>
      <c r="P74" s="38"/>
      <c r="Q74" s="39">
        <f t="shared" ref="Q74:Q77" si="536">P74*K74</f>
        <v>0</v>
      </c>
      <c r="R74" s="38"/>
      <c r="S74" s="39">
        <f t="shared" ref="S74:S77" si="537">R74*K74</f>
        <v>0</v>
      </c>
      <c r="T74" s="55"/>
      <c r="U74" s="56"/>
      <c r="V74" s="37">
        <f t="shared" ref="V74:V77" si="538">U74*$F74</f>
        <v>0</v>
      </c>
      <c r="W74" s="57"/>
      <c r="X74" s="39">
        <f t="shared" ref="X74:X77" si="539">W74*V74</f>
        <v>0</v>
      </c>
      <c r="Y74" s="57"/>
      <c r="Z74" s="39">
        <f t="shared" ref="Z74:Z77" si="540">Y74*V74</f>
        <v>0</v>
      </c>
      <c r="AA74" s="57"/>
      <c r="AB74" s="39">
        <f t="shared" ref="AB74:AB77" si="541">AA74*V74</f>
        <v>0</v>
      </c>
      <c r="AC74" s="57"/>
      <c r="AD74" s="39">
        <f t="shared" ref="AD74:AD77" si="542">AC74*V74</f>
        <v>0</v>
      </c>
      <c r="AE74" s="55"/>
      <c r="AF74" s="56"/>
      <c r="AG74" s="37">
        <f t="shared" ref="AG74:AG77" si="543">AF74*$F74</f>
        <v>0</v>
      </c>
      <c r="AH74" s="57"/>
      <c r="AI74" s="39">
        <f t="shared" ref="AI74:AI77" si="544">AH74*AG74</f>
        <v>0</v>
      </c>
      <c r="AJ74" s="57"/>
      <c r="AK74" s="39">
        <f t="shared" ref="AK74:AK77" si="545">AJ74*AG74</f>
        <v>0</v>
      </c>
      <c r="AL74" s="57"/>
      <c r="AM74" s="39">
        <f t="shared" ref="AM74:AM77" si="546">AL74*AG74</f>
        <v>0</v>
      </c>
      <c r="AN74" s="57"/>
      <c r="AO74" s="39">
        <f t="shared" ref="AO74:AO77" si="547">AN74*AG74</f>
        <v>0</v>
      </c>
      <c r="AP74" s="55"/>
      <c r="AQ74" s="56"/>
      <c r="AR74" s="37">
        <f t="shared" ref="AR74:AR77" si="548">AQ74*$F74</f>
        <v>0</v>
      </c>
      <c r="AS74" s="57"/>
      <c r="AT74" s="39">
        <f t="shared" ref="AT74:AT77" si="549">AS74*AR74</f>
        <v>0</v>
      </c>
      <c r="AU74" s="57"/>
      <c r="AV74" s="39">
        <f t="shared" ref="AV74:AV77" si="550">AU74*AR74</f>
        <v>0</v>
      </c>
      <c r="AW74" s="57"/>
      <c r="AX74" s="39">
        <f t="shared" ref="AX74:AX77" si="551">AW74*AR74</f>
        <v>0</v>
      </c>
      <c r="AY74" s="57"/>
      <c r="AZ74" s="39">
        <f t="shared" ref="AZ74:AZ77" si="552">AY74*AR74</f>
        <v>0</v>
      </c>
      <c r="BA74" s="55"/>
      <c r="BB74" s="56"/>
      <c r="BC74" s="37">
        <f t="shared" ref="BC74:BC77" si="553">BB74*$F74</f>
        <v>0</v>
      </c>
      <c r="BD74" s="57"/>
      <c r="BE74" s="39">
        <f t="shared" ref="BE74:BE77" si="554">BD74*BC74</f>
        <v>0</v>
      </c>
      <c r="BF74" s="57"/>
      <c r="BG74" s="39">
        <f t="shared" ref="BG74:BG77" si="555">BF74*BC74</f>
        <v>0</v>
      </c>
      <c r="BH74" s="57"/>
      <c r="BI74" s="39">
        <f t="shared" ref="BI74:BI77" si="556">BH74*BC74</f>
        <v>0</v>
      </c>
      <c r="BJ74" s="57"/>
      <c r="BK74" s="39">
        <f t="shared" ref="BK74:BK77" si="557">BJ74*BC74</f>
        <v>0</v>
      </c>
      <c r="BL74" s="55"/>
      <c r="BM74" s="56"/>
      <c r="BN74" s="37">
        <f t="shared" ref="BN74:BN77" si="558">BM74*$F74</f>
        <v>0</v>
      </c>
      <c r="BO74" s="57"/>
      <c r="BP74" s="39">
        <f t="shared" ref="BP74:BP77" si="559">BO74*BN74</f>
        <v>0</v>
      </c>
      <c r="BQ74" s="57"/>
      <c r="BR74" s="39">
        <f t="shared" ref="BR74:BR77" si="560">BQ74*BN74</f>
        <v>0</v>
      </c>
      <c r="BS74" s="57"/>
      <c r="BT74" s="39">
        <f t="shared" ref="BT74:BT77" si="561">BS74*BN74</f>
        <v>0</v>
      </c>
      <c r="BU74" s="57"/>
      <c r="BV74" s="39">
        <f t="shared" ref="BV74:BV77" si="562">BU74*BN74</f>
        <v>0</v>
      </c>
      <c r="BW74" s="55"/>
      <c r="BX74" s="56"/>
      <c r="BY74" s="37">
        <f t="shared" ref="BY74:BY77" si="563">BX74*$F74</f>
        <v>0</v>
      </c>
      <c r="BZ74" s="57"/>
      <c r="CA74" s="39">
        <f t="shared" ref="CA74:CA77" si="564">BZ74*BY74</f>
        <v>0</v>
      </c>
      <c r="CB74" s="57"/>
      <c r="CC74" s="39">
        <f t="shared" ref="CC74:CC77" si="565">CB74*BY74</f>
        <v>0</v>
      </c>
      <c r="CD74" s="57"/>
      <c r="CE74" s="39">
        <f t="shared" ref="CE74:CE77" si="566">CD74*BY74</f>
        <v>0</v>
      </c>
      <c r="CF74" s="57"/>
      <c r="CG74" s="39">
        <f t="shared" ref="CG74:CG77" si="567">CF74*BY74</f>
        <v>0</v>
      </c>
      <c r="CH74" s="55"/>
      <c r="CI74" s="56"/>
      <c r="CJ74" s="37">
        <f t="shared" ref="CJ74:CJ77" si="568">CI74*$F74</f>
        <v>0</v>
      </c>
      <c r="CK74" s="57"/>
      <c r="CL74" s="39">
        <f t="shared" ref="CL74:CL77" si="569">CK74*CJ74</f>
        <v>0</v>
      </c>
      <c r="CM74" s="57"/>
      <c r="CN74" s="39">
        <f t="shared" ref="CN74:CN77" si="570">CM74*CJ74</f>
        <v>0</v>
      </c>
      <c r="CO74" s="57"/>
      <c r="CP74" s="39">
        <f t="shared" ref="CP74:CP77" si="571">CO74*CJ74</f>
        <v>0</v>
      </c>
      <c r="CQ74" s="57"/>
      <c r="CR74" s="39">
        <f t="shared" ref="CR74:CR77" si="572">CQ74*CJ74</f>
        <v>0</v>
      </c>
      <c r="CS74" s="41">
        <f t="shared" ref="CS74:CS103" si="573">F74</f>
        <v>0</v>
      </c>
      <c r="CT74" s="41">
        <f t="shared" ref="CT74:CT103" si="574">K74+V74+AG74+AR74+BC74+BN74+BY74+CJ74</f>
        <v>0</v>
      </c>
      <c r="CU74" s="41" t="e">
        <f>M74+O74+Q74+S74+#REF!+X74+Z74+AB74+AD74+#REF!+AI74+AK74+AM74+AO74+#REF!+AT74+AV74+AX74+AZ74+#REF!+BE74+BG74+BI74+BK74+#REF!+BP74+BR74+BT74+BV74+#REF!+CA74+CC74+CE74+CG74+#REF!+CL74+CN74+CP74+CR74+#REF!</f>
        <v>#REF!</v>
      </c>
      <c r="CV74" s="16" t="e">
        <f t="shared" si="373"/>
        <v>#REF!</v>
      </c>
    </row>
    <row r="75" spans="1:100" x14ac:dyDescent="0.25">
      <c r="B75" s="44" t="s">
        <v>48</v>
      </c>
      <c r="C75" s="54" t="s">
        <v>33</v>
      </c>
      <c r="D75" s="53">
        <v>125</v>
      </c>
      <c r="E75" s="191">
        <f>H75*$K$106</f>
        <v>244.89599999999999</v>
      </c>
      <c r="F75" s="94">
        <v>30000</v>
      </c>
      <c r="G75" s="55"/>
      <c r="H75" s="162">
        <v>240</v>
      </c>
      <c r="I75" s="55"/>
      <c r="J75" s="36"/>
      <c r="K75" s="37">
        <f t="shared" si="533"/>
        <v>0</v>
      </c>
      <c r="L75" s="38"/>
      <c r="M75" s="39">
        <f t="shared" si="534"/>
        <v>0</v>
      </c>
      <c r="N75" s="38"/>
      <c r="O75" s="39">
        <f t="shared" si="535"/>
        <v>0</v>
      </c>
      <c r="P75" s="38"/>
      <c r="Q75" s="39">
        <f t="shared" si="536"/>
        <v>0</v>
      </c>
      <c r="R75" s="38"/>
      <c r="S75" s="39">
        <f t="shared" si="537"/>
        <v>0</v>
      </c>
      <c r="T75" s="55"/>
      <c r="U75" s="56"/>
      <c r="V75" s="37">
        <f t="shared" si="538"/>
        <v>0</v>
      </c>
      <c r="W75" s="57"/>
      <c r="X75" s="39">
        <f t="shared" si="539"/>
        <v>0</v>
      </c>
      <c r="Y75" s="57"/>
      <c r="Z75" s="39">
        <f t="shared" si="540"/>
        <v>0</v>
      </c>
      <c r="AA75" s="57"/>
      <c r="AB75" s="39">
        <f t="shared" si="541"/>
        <v>0</v>
      </c>
      <c r="AC75" s="57"/>
      <c r="AD75" s="39">
        <f t="shared" si="542"/>
        <v>0</v>
      </c>
      <c r="AE75" s="55"/>
      <c r="AF75" s="56">
        <v>0.6</v>
      </c>
      <c r="AG75" s="37">
        <f t="shared" si="543"/>
        <v>18000</v>
      </c>
      <c r="AH75" s="57">
        <v>0.42</v>
      </c>
      <c r="AI75" s="39">
        <f t="shared" si="544"/>
        <v>7560</v>
      </c>
      <c r="AJ75" s="57">
        <v>0.47</v>
      </c>
      <c r="AK75" s="39">
        <f t="shared" si="545"/>
        <v>8460</v>
      </c>
      <c r="AL75" s="57">
        <v>0.1</v>
      </c>
      <c r="AM75" s="39">
        <f t="shared" si="546"/>
        <v>1800</v>
      </c>
      <c r="AN75" s="57">
        <v>0.01</v>
      </c>
      <c r="AO75" s="39">
        <f t="shared" si="547"/>
        <v>180</v>
      </c>
      <c r="AP75" s="55"/>
      <c r="AQ75" s="56">
        <v>0.2</v>
      </c>
      <c r="AR75" s="37">
        <f t="shared" si="548"/>
        <v>6000</v>
      </c>
      <c r="AS75" s="57">
        <v>0.42</v>
      </c>
      <c r="AT75" s="39">
        <f t="shared" si="549"/>
        <v>2520</v>
      </c>
      <c r="AU75" s="57">
        <v>0.47</v>
      </c>
      <c r="AV75" s="39">
        <f t="shared" si="550"/>
        <v>2820</v>
      </c>
      <c r="AW75" s="57">
        <v>0.1</v>
      </c>
      <c r="AX75" s="39">
        <f t="shared" si="551"/>
        <v>600</v>
      </c>
      <c r="AY75" s="57">
        <v>0.01</v>
      </c>
      <c r="AZ75" s="39">
        <f t="shared" si="552"/>
        <v>60</v>
      </c>
      <c r="BA75" s="55"/>
      <c r="BB75" s="56">
        <v>0.15</v>
      </c>
      <c r="BC75" s="37">
        <f t="shared" si="553"/>
        <v>4500</v>
      </c>
      <c r="BD75" s="57">
        <v>0.42</v>
      </c>
      <c r="BE75" s="39">
        <f t="shared" si="554"/>
        <v>1890</v>
      </c>
      <c r="BF75" s="57">
        <v>0.47</v>
      </c>
      <c r="BG75" s="39">
        <f t="shared" si="555"/>
        <v>2115</v>
      </c>
      <c r="BH75" s="57">
        <v>0.1</v>
      </c>
      <c r="BI75" s="39">
        <f t="shared" si="556"/>
        <v>450</v>
      </c>
      <c r="BJ75" s="57">
        <v>0.01</v>
      </c>
      <c r="BK75" s="39">
        <f t="shared" si="557"/>
        <v>45</v>
      </c>
      <c r="BL75" s="55"/>
      <c r="BM75" s="56">
        <v>0.05</v>
      </c>
      <c r="BN75" s="37">
        <f t="shared" si="558"/>
        <v>1500</v>
      </c>
      <c r="BO75" s="57">
        <v>0.42</v>
      </c>
      <c r="BP75" s="39">
        <f t="shared" si="559"/>
        <v>630</v>
      </c>
      <c r="BQ75" s="57">
        <v>0.47</v>
      </c>
      <c r="BR75" s="39">
        <f t="shared" si="560"/>
        <v>705</v>
      </c>
      <c r="BS75" s="57">
        <v>0.1</v>
      </c>
      <c r="BT75" s="39">
        <f t="shared" si="561"/>
        <v>150</v>
      </c>
      <c r="BU75" s="57">
        <v>0.01</v>
      </c>
      <c r="BV75" s="39">
        <f t="shared" si="562"/>
        <v>15</v>
      </c>
      <c r="BW75" s="55"/>
      <c r="BX75" s="56"/>
      <c r="BY75" s="37">
        <f t="shared" si="563"/>
        <v>0</v>
      </c>
      <c r="BZ75" s="57"/>
      <c r="CA75" s="39">
        <f t="shared" si="564"/>
        <v>0</v>
      </c>
      <c r="CB75" s="57"/>
      <c r="CC75" s="39">
        <f t="shared" si="565"/>
        <v>0</v>
      </c>
      <c r="CD75" s="57"/>
      <c r="CE75" s="39">
        <f t="shared" si="566"/>
        <v>0</v>
      </c>
      <c r="CF75" s="57"/>
      <c r="CG75" s="39">
        <f t="shared" si="567"/>
        <v>0</v>
      </c>
      <c r="CH75" s="55"/>
      <c r="CI75" s="56"/>
      <c r="CJ75" s="37">
        <f t="shared" si="568"/>
        <v>0</v>
      </c>
      <c r="CK75" s="57"/>
      <c r="CL75" s="39">
        <f t="shared" si="569"/>
        <v>0</v>
      </c>
      <c r="CM75" s="57"/>
      <c r="CN75" s="39">
        <f t="shared" si="570"/>
        <v>0</v>
      </c>
      <c r="CO75" s="57"/>
      <c r="CP75" s="39">
        <f t="shared" si="571"/>
        <v>0</v>
      </c>
      <c r="CQ75" s="57"/>
      <c r="CR75" s="39">
        <f t="shared" si="572"/>
        <v>0</v>
      </c>
      <c r="CS75" s="41">
        <f t="shared" si="573"/>
        <v>30000</v>
      </c>
      <c r="CT75" s="41">
        <f t="shared" si="574"/>
        <v>30000</v>
      </c>
      <c r="CU75" s="41" t="e">
        <f>M75+O75+Q75+S75+#REF!+X75+Z75+AB75+AD75+#REF!+AI75+AK75+AM75+AO75+#REF!+AT75+AV75+AX75+AZ75+#REF!+BE75+BG75+BI75+BK75+#REF!+BP75+BR75+BT75+BV75+#REF!+CA75+CC75+CE75+CG75+#REF!+CL75+CN75+CP75+CR75+#REF!</f>
        <v>#REF!</v>
      </c>
      <c r="CV75" s="16" t="e">
        <f t="shared" si="373"/>
        <v>#REF!</v>
      </c>
    </row>
    <row r="76" spans="1:100" x14ac:dyDescent="0.25">
      <c r="B76" s="44" t="s">
        <v>49</v>
      </c>
      <c r="C76" s="54" t="s">
        <v>33</v>
      </c>
      <c r="D76" s="53">
        <v>125</v>
      </c>
      <c r="E76" s="34">
        <f>$K$95</f>
        <v>-108.3695731319762</v>
      </c>
      <c r="F76" s="94">
        <v>-22565.78947368421</v>
      </c>
      <c r="G76" s="55"/>
      <c r="H76" s="162">
        <v>-123.79</v>
      </c>
      <c r="I76" s="55"/>
      <c r="J76" s="36"/>
      <c r="K76" s="37">
        <f t="shared" si="533"/>
        <v>0</v>
      </c>
      <c r="L76" s="38"/>
      <c r="M76" s="39">
        <f t="shared" si="534"/>
        <v>0</v>
      </c>
      <c r="N76" s="38"/>
      <c r="O76" s="39">
        <f t="shared" si="535"/>
        <v>0</v>
      </c>
      <c r="P76" s="38"/>
      <c r="Q76" s="39">
        <f t="shared" si="536"/>
        <v>0</v>
      </c>
      <c r="R76" s="38"/>
      <c r="S76" s="39">
        <f t="shared" si="537"/>
        <v>0</v>
      </c>
      <c r="T76" s="55"/>
      <c r="U76" s="56"/>
      <c r="V76" s="37">
        <f t="shared" si="538"/>
        <v>0</v>
      </c>
      <c r="W76" s="57"/>
      <c r="X76" s="39">
        <f t="shared" si="539"/>
        <v>0</v>
      </c>
      <c r="Y76" s="57"/>
      <c r="Z76" s="39">
        <f t="shared" si="540"/>
        <v>0</v>
      </c>
      <c r="AA76" s="57"/>
      <c r="AB76" s="39">
        <f t="shared" si="541"/>
        <v>0</v>
      </c>
      <c r="AC76" s="57"/>
      <c r="AD76" s="39">
        <f t="shared" si="542"/>
        <v>0</v>
      </c>
      <c r="AE76" s="55"/>
      <c r="AF76" s="56">
        <v>0.6</v>
      </c>
      <c r="AG76" s="37">
        <f t="shared" si="543"/>
        <v>-13539.473684210525</v>
      </c>
      <c r="AH76" s="57">
        <v>0.42</v>
      </c>
      <c r="AI76" s="39">
        <f t="shared" si="544"/>
        <v>-5686.5789473684199</v>
      </c>
      <c r="AJ76" s="57">
        <v>0.47</v>
      </c>
      <c r="AK76" s="39">
        <f t="shared" si="545"/>
        <v>-6363.5526315789466</v>
      </c>
      <c r="AL76" s="57">
        <v>0.1</v>
      </c>
      <c r="AM76" s="39">
        <f t="shared" si="546"/>
        <v>-1353.9473684210525</v>
      </c>
      <c r="AN76" s="57">
        <v>0.01</v>
      </c>
      <c r="AO76" s="39">
        <f t="shared" si="547"/>
        <v>-135.39473684210526</v>
      </c>
      <c r="AP76" s="55"/>
      <c r="AQ76" s="56">
        <v>0.25</v>
      </c>
      <c r="AR76" s="37">
        <f t="shared" si="548"/>
        <v>-5641.4473684210525</v>
      </c>
      <c r="AS76" s="57">
        <v>0.42</v>
      </c>
      <c r="AT76" s="39">
        <f t="shared" si="549"/>
        <v>-2369.4078947368421</v>
      </c>
      <c r="AU76" s="57">
        <v>0.47</v>
      </c>
      <c r="AV76" s="39">
        <f t="shared" si="550"/>
        <v>-2651.4802631578946</v>
      </c>
      <c r="AW76" s="57">
        <v>0.1</v>
      </c>
      <c r="AX76" s="39">
        <f t="shared" si="551"/>
        <v>-564.14473684210532</v>
      </c>
      <c r="AY76" s="57">
        <v>0.01</v>
      </c>
      <c r="AZ76" s="39">
        <f t="shared" si="552"/>
        <v>-56.414473684210527</v>
      </c>
      <c r="BA76" s="55"/>
      <c r="BB76" s="56">
        <v>0.15</v>
      </c>
      <c r="BC76" s="37">
        <f t="shared" si="553"/>
        <v>-3384.8684210526312</v>
      </c>
      <c r="BD76" s="57">
        <v>0.42</v>
      </c>
      <c r="BE76" s="39">
        <f t="shared" si="554"/>
        <v>-1421.644736842105</v>
      </c>
      <c r="BF76" s="57">
        <v>0.47</v>
      </c>
      <c r="BG76" s="39">
        <f t="shared" si="555"/>
        <v>-1590.8881578947367</v>
      </c>
      <c r="BH76" s="57">
        <v>0.1</v>
      </c>
      <c r="BI76" s="39">
        <f t="shared" si="556"/>
        <v>-338.48684210526312</v>
      </c>
      <c r="BJ76" s="57">
        <v>0.01</v>
      </c>
      <c r="BK76" s="39">
        <f t="shared" si="557"/>
        <v>-33.848684210526315</v>
      </c>
      <c r="BL76" s="55"/>
      <c r="BM76" s="56"/>
      <c r="BN76" s="37">
        <f t="shared" si="558"/>
        <v>0</v>
      </c>
      <c r="BO76" s="57"/>
      <c r="BP76" s="39">
        <f t="shared" si="559"/>
        <v>0</v>
      </c>
      <c r="BQ76" s="57"/>
      <c r="BR76" s="39">
        <f t="shared" si="560"/>
        <v>0</v>
      </c>
      <c r="BS76" s="57"/>
      <c r="BT76" s="39">
        <f t="shared" si="561"/>
        <v>0</v>
      </c>
      <c r="BU76" s="57"/>
      <c r="BV76" s="39">
        <f t="shared" si="562"/>
        <v>0</v>
      </c>
      <c r="BW76" s="55"/>
      <c r="BX76" s="56"/>
      <c r="BY76" s="37">
        <f t="shared" si="563"/>
        <v>0</v>
      </c>
      <c r="BZ76" s="57"/>
      <c r="CA76" s="39">
        <f t="shared" si="564"/>
        <v>0</v>
      </c>
      <c r="CB76" s="57"/>
      <c r="CC76" s="39">
        <f t="shared" si="565"/>
        <v>0</v>
      </c>
      <c r="CD76" s="57"/>
      <c r="CE76" s="39">
        <f t="shared" si="566"/>
        <v>0</v>
      </c>
      <c r="CF76" s="57"/>
      <c r="CG76" s="39">
        <f t="shared" si="567"/>
        <v>0</v>
      </c>
      <c r="CH76" s="55"/>
      <c r="CI76" s="56"/>
      <c r="CJ76" s="37">
        <f t="shared" si="568"/>
        <v>0</v>
      </c>
      <c r="CK76" s="57"/>
      <c r="CL76" s="39">
        <f t="shared" si="569"/>
        <v>0</v>
      </c>
      <c r="CM76" s="57"/>
      <c r="CN76" s="39">
        <f t="shared" si="570"/>
        <v>0</v>
      </c>
      <c r="CO76" s="57"/>
      <c r="CP76" s="39">
        <f t="shared" si="571"/>
        <v>0</v>
      </c>
      <c r="CQ76" s="57"/>
      <c r="CR76" s="39">
        <f t="shared" si="572"/>
        <v>0</v>
      </c>
      <c r="CS76" s="41">
        <f t="shared" si="573"/>
        <v>-22565.78947368421</v>
      </c>
      <c r="CT76" s="41">
        <f t="shared" si="574"/>
        <v>-22565.789473684206</v>
      </c>
      <c r="CU76" s="41" t="e">
        <f>M76+O76+Q76+S76+#REF!+X76+Z76+AB76+AD76+#REF!+AI76+AK76+AM76+AO76+#REF!+AT76+AV76+AX76+AZ76+#REF!+BE76+BG76+BI76+BK76+#REF!+BP76+BR76+BT76+BV76+#REF!+CA76+CC76+CE76+CG76+#REF!+CL76+CN76+CP76+CR76+#REF!</f>
        <v>#REF!</v>
      </c>
      <c r="CV76" s="16" t="e">
        <f t="shared" si="373"/>
        <v>#REF!</v>
      </c>
    </row>
    <row r="77" spans="1:100" x14ac:dyDescent="0.25">
      <c r="B77" s="51" t="s">
        <v>41</v>
      </c>
      <c r="C77" s="54" t="s">
        <v>33</v>
      </c>
      <c r="D77" s="53">
        <v>35</v>
      </c>
      <c r="E77" s="191">
        <f>H77*$K$106</f>
        <v>66.325999999999993</v>
      </c>
      <c r="F77" s="94">
        <v>2275</v>
      </c>
      <c r="G77" s="55"/>
      <c r="H77" s="162">
        <v>65</v>
      </c>
      <c r="I77" s="55"/>
      <c r="J77" s="36"/>
      <c r="K77" s="37">
        <f t="shared" si="533"/>
        <v>0</v>
      </c>
      <c r="L77" s="38"/>
      <c r="M77" s="39">
        <f t="shared" si="534"/>
        <v>0</v>
      </c>
      <c r="N77" s="38"/>
      <c r="O77" s="39">
        <f t="shared" si="535"/>
        <v>0</v>
      </c>
      <c r="P77" s="38"/>
      <c r="Q77" s="39">
        <f t="shared" si="536"/>
        <v>0</v>
      </c>
      <c r="R77" s="38"/>
      <c r="S77" s="39">
        <f t="shared" si="537"/>
        <v>0</v>
      </c>
      <c r="T77" s="55"/>
      <c r="U77" s="56">
        <v>0.14285714285714288</v>
      </c>
      <c r="V77" s="37">
        <f t="shared" si="538"/>
        <v>325.00000000000006</v>
      </c>
      <c r="W77" s="57">
        <v>0.42</v>
      </c>
      <c r="X77" s="39">
        <f t="shared" si="539"/>
        <v>136.50000000000003</v>
      </c>
      <c r="Y77" s="57">
        <v>0.47</v>
      </c>
      <c r="Z77" s="39">
        <f t="shared" si="540"/>
        <v>152.75000000000003</v>
      </c>
      <c r="AA77" s="57">
        <v>0.1</v>
      </c>
      <c r="AB77" s="39">
        <f t="shared" si="541"/>
        <v>32.500000000000007</v>
      </c>
      <c r="AC77" s="57">
        <v>0.01</v>
      </c>
      <c r="AD77" s="39">
        <f t="shared" si="542"/>
        <v>3.2500000000000004</v>
      </c>
      <c r="AE77" s="55"/>
      <c r="AF77" s="56">
        <v>0.14285714285714288</v>
      </c>
      <c r="AG77" s="37">
        <f t="shared" si="543"/>
        <v>325.00000000000006</v>
      </c>
      <c r="AH77" s="57">
        <v>0.42</v>
      </c>
      <c r="AI77" s="39">
        <f t="shared" si="544"/>
        <v>136.50000000000003</v>
      </c>
      <c r="AJ77" s="57">
        <v>0.47</v>
      </c>
      <c r="AK77" s="39">
        <f t="shared" si="545"/>
        <v>152.75000000000003</v>
      </c>
      <c r="AL77" s="57">
        <v>0.1</v>
      </c>
      <c r="AM77" s="39">
        <f t="shared" si="546"/>
        <v>32.500000000000007</v>
      </c>
      <c r="AN77" s="57">
        <v>0.01</v>
      </c>
      <c r="AO77" s="39">
        <f t="shared" si="547"/>
        <v>3.2500000000000004</v>
      </c>
      <c r="AP77" s="55"/>
      <c r="AQ77" s="56">
        <v>0.14285714285714288</v>
      </c>
      <c r="AR77" s="37">
        <f t="shared" si="548"/>
        <v>325.00000000000006</v>
      </c>
      <c r="AS77" s="57">
        <v>0.42</v>
      </c>
      <c r="AT77" s="39">
        <f t="shared" si="549"/>
        <v>136.50000000000003</v>
      </c>
      <c r="AU77" s="57">
        <v>0.47</v>
      </c>
      <c r="AV77" s="39">
        <f t="shared" si="550"/>
        <v>152.75000000000003</v>
      </c>
      <c r="AW77" s="57">
        <v>0.1</v>
      </c>
      <c r="AX77" s="39">
        <f t="shared" si="551"/>
        <v>32.500000000000007</v>
      </c>
      <c r="AY77" s="57">
        <v>0.01</v>
      </c>
      <c r="AZ77" s="39">
        <f t="shared" si="552"/>
        <v>3.2500000000000004</v>
      </c>
      <c r="BA77" s="55"/>
      <c r="BB77" s="56">
        <v>0.14285714285714288</v>
      </c>
      <c r="BC77" s="37">
        <f t="shared" si="553"/>
        <v>325.00000000000006</v>
      </c>
      <c r="BD77" s="57">
        <v>0.42</v>
      </c>
      <c r="BE77" s="39">
        <f t="shared" si="554"/>
        <v>136.50000000000003</v>
      </c>
      <c r="BF77" s="57">
        <v>0.47</v>
      </c>
      <c r="BG77" s="39">
        <f t="shared" si="555"/>
        <v>152.75000000000003</v>
      </c>
      <c r="BH77" s="57">
        <v>0.1</v>
      </c>
      <c r="BI77" s="39">
        <f t="shared" si="556"/>
        <v>32.500000000000007</v>
      </c>
      <c r="BJ77" s="57">
        <v>0.01</v>
      </c>
      <c r="BK77" s="39">
        <f t="shared" si="557"/>
        <v>3.2500000000000004</v>
      </c>
      <c r="BL77" s="55"/>
      <c r="BM77" s="56">
        <v>0.14285714285714288</v>
      </c>
      <c r="BN77" s="37">
        <f t="shared" si="558"/>
        <v>325.00000000000006</v>
      </c>
      <c r="BO77" s="57">
        <v>0.42</v>
      </c>
      <c r="BP77" s="39">
        <f t="shared" si="559"/>
        <v>136.50000000000003</v>
      </c>
      <c r="BQ77" s="57">
        <v>0.47</v>
      </c>
      <c r="BR77" s="39">
        <f t="shared" si="560"/>
        <v>152.75000000000003</v>
      </c>
      <c r="BS77" s="57">
        <v>0.1</v>
      </c>
      <c r="BT77" s="39">
        <f t="shared" si="561"/>
        <v>32.500000000000007</v>
      </c>
      <c r="BU77" s="57">
        <v>0.01</v>
      </c>
      <c r="BV77" s="39">
        <f t="shared" si="562"/>
        <v>3.2500000000000004</v>
      </c>
      <c r="BW77" s="55"/>
      <c r="BX77" s="56">
        <v>0.14285714285714288</v>
      </c>
      <c r="BY77" s="37">
        <f t="shared" si="563"/>
        <v>325.00000000000006</v>
      </c>
      <c r="BZ77" s="57">
        <v>0.42</v>
      </c>
      <c r="CA77" s="39">
        <f t="shared" si="564"/>
        <v>136.50000000000003</v>
      </c>
      <c r="CB77" s="57">
        <v>0.47</v>
      </c>
      <c r="CC77" s="39">
        <f t="shared" si="565"/>
        <v>152.75000000000003</v>
      </c>
      <c r="CD77" s="57">
        <v>0.1</v>
      </c>
      <c r="CE77" s="39">
        <f t="shared" si="566"/>
        <v>32.500000000000007</v>
      </c>
      <c r="CF77" s="57">
        <v>0.01</v>
      </c>
      <c r="CG77" s="39">
        <f t="shared" si="567"/>
        <v>3.2500000000000004</v>
      </c>
      <c r="CH77" s="55"/>
      <c r="CI77" s="56">
        <v>0.14285714285714288</v>
      </c>
      <c r="CJ77" s="37">
        <f t="shared" si="568"/>
        <v>325.00000000000006</v>
      </c>
      <c r="CK77" s="57">
        <v>0.42</v>
      </c>
      <c r="CL77" s="39">
        <f t="shared" si="569"/>
        <v>136.50000000000003</v>
      </c>
      <c r="CM77" s="57">
        <v>0.47</v>
      </c>
      <c r="CN77" s="39">
        <f t="shared" si="570"/>
        <v>152.75000000000003</v>
      </c>
      <c r="CO77" s="57">
        <v>0.1</v>
      </c>
      <c r="CP77" s="39">
        <f t="shared" si="571"/>
        <v>32.500000000000007</v>
      </c>
      <c r="CQ77" s="57">
        <v>0.01</v>
      </c>
      <c r="CR77" s="39">
        <f t="shared" si="572"/>
        <v>3.2500000000000004</v>
      </c>
      <c r="CS77" s="41">
        <f t="shared" si="573"/>
        <v>2275</v>
      </c>
      <c r="CT77" s="41">
        <f t="shared" si="574"/>
        <v>2275.0000000000005</v>
      </c>
      <c r="CU77" s="41" t="e">
        <f>M77+O77+Q77+S77+#REF!+X77+Z77+AB77+AD77+#REF!+AI77+AK77+AM77+AO77+#REF!+AT77+AV77+AX77+AZ77+#REF!+BE77+BG77+BI77+BK77+#REF!+BP77+BR77+BT77+BV77+#REF!+CA77+CC77+CE77+CG77+#REF!+CL77+CN77+CP77+CR77+#REF!</f>
        <v>#REF!</v>
      </c>
      <c r="CV77" s="16" t="e">
        <f t="shared" si="373"/>
        <v>#REF!</v>
      </c>
    </row>
    <row r="78" spans="1:100" x14ac:dyDescent="0.25">
      <c r="B78" s="44"/>
      <c r="C78" s="54"/>
      <c r="D78" s="43"/>
      <c r="E78" s="34"/>
      <c r="F78" s="34"/>
      <c r="G78" s="55"/>
      <c r="H78" s="162">
        <v>0</v>
      </c>
      <c r="I78" s="55"/>
      <c r="J78" s="36"/>
      <c r="K78" s="37">
        <f t="shared" si="331"/>
        <v>0</v>
      </c>
      <c r="L78" s="38"/>
      <c r="M78" s="39">
        <f t="shared" si="332"/>
        <v>0</v>
      </c>
      <c r="N78" s="38"/>
      <c r="O78" s="39">
        <f t="shared" si="333"/>
        <v>0</v>
      </c>
      <c r="P78" s="38"/>
      <c r="Q78" s="39">
        <f t="shared" si="334"/>
        <v>0</v>
      </c>
      <c r="R78" s="38"/>
      <c r="S78" s="39">
        <f t="shared" si="335"/>
        <v>0</v>
      </c>
      <c r="T78" s="55"/>
      <c r="U78" s="56"/>
      <c r="V78" s="37">
        <f t="shared" si="336"/>
        <v>0</v>
      </c>
      <c r="W78" s="57"/>
      <c r="X78" s="39">
        <f t="shared" si="337"/>
        <v>0</v>
      </c>
      <c r="Y78" s="57"/>
      <c r="Z78" s="39">
        <f t="shared" si="338"/>
        <v>0</v>
      </c>
      <c r="AA78" s="57"/>
      <c r="AB78" s="39">
        <f t="shared" si="339"/>
        <v>0</v>
      </c>
      <c r="AC78" s="57"/>
      <c r="AD78" s="39">
        <f t="shared" si="340"/>
        <v>0</v>
      </c>
      <c r="AE78" s="55"/>
      <c r="AF78" s="56"/>
      <c r="AG78" s="37">
        <f t="shared" si="341"/>
        <v>0</v>
      </c>
      <c r="AH78" s="57"/>
      <c r="AI78" s="39">
        <f t="shared" si="342"/>
        <v>0</v>
      </c>
      <c r="AJ78" s="57"/>
      <c r="AK78" s="39">
        <f t="shared" si="343"/>
        <v>0</v>
      </c>
      <c r="AL78" s="57"/>
      <c r="AM78" s="39">
        <f t="shared" si="344"/>
        <v>0</v>
      </c>
      <c r="AN78" s="57"/>
      <c r="AO78" s="39">
        <f t="shared" si="345"/>
        <v>0</v>
      </c>
      <c r="AP78" s="55"/>
      <c r="AQ78" s="56"/>
      <c r="AR78" s="37">
        <f t="shared" si="346"/>
        <v>0</v>
      </c>
      <c r="AS78" s="57"/>
      <c r="AT78" s="39">
        <f t="shared" si="347"/>
        <v>0</v>
      </c>
      <c r="AU78" s="57"/>
      <c r="AV78" s="39">
        <f t="shared" si="348"/>
        <v>0</v>
      </c>
      <c r="AW78" s="57"/>
      <c r="AX78" s="39">
        <f t="shared" si="349"/>
        <v>0</v>
      </c>
      <c r="AY78" s="57"/>
      <c r="AZ78" s="39">
        <f t="shared" si="350"/>
        <v>0</v>
      </c>
      <c r="BA78" s="55"/>
      <c r="BB78" s="56"/>
      <c r="BC78" s="37">
        <f t="shared" si="351"/>
        <v>0</v>
      </c>
      <c r="BD78" s="57"/>
      <c r="BE78" s="39">
        <f t="shared" si="352"/>
        <v>0</v>
      </c>
      <c r="BF78" s="57"/>
      <c r="BG78" s="39">
        <f t="shared" si="353"/>
        <v>0</v>
      </c>
      <c r="BH78" s="57"/>
      <c r="BI78" s="39">
        <f t="shared" si="354"/>
        <v>0</v>
      </c>
      <c r="BJ78" s="57"/>
      <c r="BK78" s="39">
        <f t="shared" si="355"/>
        <v>0</v>
      </c>
      <c r="BL78" s="55"/>
      <c r="BM78" s="56"/>
      <c r="BN78" s="37">
        <f t="shared" si="356"/>
        <v>0</v>
      </c>
      <c r="BO78" s="57"/>
      <c r="BP78" s="39">
        <f t="shared" si="357"/>
        <v>0</v>
      </c>
      <c r="BQ78" s="57"/>
      <c r="BR78" s="39">
        <f t="shared" si="358"/>
        <v>0</v>
      </c>
      <c r="BS78" s="57"/>
      <c r="BT78" s="39">
        <f t="shared" si="359"/>
        <v>0</v>
      </c>
      <c r="BU78" s="57"/>
      <c r="BV78" s="39">
        <f t="shared" si="360"/>
        <v>0</v>
      </c>
      <c r="BW78" s="55"/>
      <c r="BX78" s="56"/>
      <c r="BY78" s="37">
        <f t="shared" si="361"/>
        <v>0</v>
      </c>
      <c r="BZ78" s="57"/>
      <c r="CA78" s="39">
        <f t="shared" si="362"/>
        <v>0</v>
      </c>
      <c r="CB78" s="57"/>
      <c r="CC78" s="39">
        <f t="shared" si="363"/>
        <v>0</v>
      </c>
      <c r="CD78" s="57"/>
      <c r="CE78" s="39">
        <f t="shared" si="364"/>
        <v>0</v>
      </c>
      <c r="CF78" s="57"/>
      <c r="CG78" s="39">
        <f t="shared" si="365"/>
        <v>0</v>
      </c>
      <c r="CH78" s="55"/>
      <c r="CI78" s="56"/>
      <c r="CJ78" s="37">
        <f t="shared" si="366"/>
        <v>0</v>
      </c>
      <c r="CK78" s="57"/>
      <c r="CL78" s="39">
        <f t="shared" si="367"/>
        <v>0</v>
      </c>
      <c r="CM78" s="57"/>
      <c r="CN78" s="39">
        <f t="shared" si="368"/>
        <v>0</v>
      </c>
      <c r="CO78" s="57"/>
      <c r="CP78" s="39">
        <f t="shared" si="369"/>
        <v>0</v>
      </c>
      <c r="CQ78" s="57"/>
      <c r="CR78" s="39">
        <f t="shared" si="370"/>
        <v>0</v>
      </c>
      <c r="CS78" s="41">
        <f t="shared" si="573"/>
        <v>0</v>
      </c>
      <c r="CT78" s="41">
        <f t="shared" si="574"/>
        <v>0</v>
      </c>
      <c r="CU78" s="41" t="e">
        <f>M78+O78+Q78+S78+#REF!+X78+Z78+AB78+AD78+#REF!+AI78+AK78+AM78+AO78+#REF!+AT78+AV78+AX78+AZ78+#REF!+BE78+BG78+BI78+BK78+#REF!+BP78+BR78+BT78+BV78+#REF!+CA78+CC78+CE78+CG78+#REF!+CL78+CN78+CP78+CR78+#REF!</f>
        <v>#REF!</v>
      </c>
      <c r="CV78" s="16" t="e">
        <f t="shared" si="373"/>
        <v>#REF!</v>
      </c>
    </row>
    <row r="79" spans="1:100" x14ac:dyDescent="0.25">
      <c r="B79" s="58" t="s">
        <v>0</v>
      </c>
      <c r="C79" s="59"/>
      <c r="D79" s="60"/>
      <c r="E79" s="61"/>
      <c r="F79" s="62">
        <f>SUM(F4:F78)</f>
        <v>5873139.0882300148</v>
      </c>
      <c r="G79" s="62">
        <f>SUM(G4:G78)</f>
        <v>0</v>
      </c>
      <c r="H79" s="162">
        <v>0</v>
      </c>
      <c r="I79" s="62"/>
      <c r="J79" s="62"/>
      <c r="K79" s="62">
        <f>SUM(K4:K78)</f>
        <v>267597.5</v>
      </c>
      <c r="L79" s="62"/>
      <c r="M79" s="62">
        <f>SUM(M4:M78)</f>
        <v>112350</v>
      </c>
      <c r="N79" s="62"/>
      <c r="O79" s="62">
        <f>SUM(O4:O78)</f>
        <v>125725</v>
      </c>
      <c r="P79" s="62"/>
      <c r="Q79" s="62">
        <f>SUM(Q4:Q78)</f>
        <v>26750</v>
      </c>
      <c r="R79" s="62"/>
      <c r="S79" s="62">
        <f>SUM(S4:S78)</f>
        <v>2772.5</v>
      </c>
      <c r="T79" s="62">
        <f>SUM(T4:T78)</f>
        <v>0</v>
      </c>
      <c r="U79" s="62"/>
      <c r="V79" s="62">
        <f>SUM(V4:V78)</f>
        <v>2284552.4472828042</v>
      </c>
      <c r="W79" s="62"/>
      <c r="X79" s="62">
        <f>SUM(X4:X78)</f>
        <v>1064795.4749735449</v>
      </c>
      <c r="Y79" s="62"/>
      <c r="Z79" s="62">
        <f>SUM(Z4:Z78)</f>
        <v>1121144.4365949736</v>
      </c>
      <c r="AA79" s="62"/>
      <c r="AB79" s="62">
        <f>SUM(AB4:AB78)</f>
        <v>89636.78571428571</v>
      </c>
      <c r="AC79" s="62"/>
      <c r="AD79" s="62">
        <f>SUM(AD4:AD78)</f>
        <v>8975.75</v>
      </c>
      <c r="AE79" s="62">
        <f>SUM(AE4:AE78)</f>
        <v>0</v>
      </c>
      <c r="AF79" s="62"/>
      <c r="AG79" s="62">
        <f>SUM(AG4:AG78)</f>
        <v>2578190.2283516289</v>
      </c>
      <c r="AH79" s="62"/>
      <c r="AI79" s="62">
        <f>SUM(AI4:AI78)</f>
        <v>1236791.9153477666</v>
      </c>
      <c r="AJ79" s="62"/>
      <c r="AK79" s="62">
        <f>SUM(AK4:AK78)</f>
        <v>1311875.689407561</v>
      </c>
      <c r="AL79" s="62"/>
      <c r="AM79" s="62">
        <f>SUM(AM4:AM78)</f>
        <v>5082.8383458646622</v>
      </c>
      <c r="AN79" s="62"/>
      <c r="AO79" s="62">
        <f>SUM(AO4:AO78)</f>
        <v>24439.78525043566</v>
      </c>
      <c r="AP79" s="62">
        <f>SUM(AP4:AP78)</f>
        <v>0</v>
      </c>
      <c r="AQ79" s="62"/>
      <c r="AR79" s="62">
        <f>SUM(AR4:AR78)</f>
        <v>706184.81021308457</v>
      </c>
      <c r="AS79" s="62"/>
      <c r="AT79" s="62">
        <f>SUM(AT4:AT78)</f>
        <v>148856.05426995456</v>
      </c>
      <c r="AU79" s="62"/>
      <c r="AV79" s="62">
        <f>SUM(AV4:AV78)</f>
        <v>144403.10106984319</v>
      </c>
      <c r="AW79" s="62"/>
      <c r="AX79" s="62">
        <f>SUM(AX4:AX78)</f>
        <v>408038.22806252824</v>
      </c>
      <c r="AY79" s="62"/>
      <c r="AZ79" s="62">
        <f>SUM(AZ4:AZ78)</f>
        <v>4887.4268107584494</v>
      </c>
      <c r="BA79" s="62">
        <f>SUM(BA4:BA78)</f>
        <v>0</v>
      </c>
      <c r="BB79" s="62"/>
      <c r="BC79" s="62">
        <f>SUM(BC4:BC78)</f>
        <v>263346.52339796344</v>
      </c>
      <c r="BD79" s="62"/>
      <c r="BE79" s="62">
        <f>SUM(BE4:BE78)</f>
        <v>112209.712991077</v>
      </c>
      <c r="BF79" s="62"/>
      <c r="BG79" s="62">
        <f>SUM(BG4:BG78)</f>
        <v>124246.75272209702</v>
      </c>
      <c r="BH79" s="62"/>
      <c r="BI79" s="62">
        <f>SUM(BI4:BI78)</f>
        <v>18998.29887218045</v>
      </c>
      <c r="BJ79" s="62"/>
      <c r="BK79" s="62">
        <f>SUM(BK4:BK78)</f>
        <v>7891.7588126089149</v>
      </c>
      <c r="BL79" s="62">
        <f>SUM(BL4:BL78)</f>
        <v>0</v>
      </c>
      <c r="BM79" s="62"/>
      <c r="BN79" s="62">
        <f>SUM(BN4:BN78)</f>
        <v>-345636.09245500335</v>
      </c>
      <c r="BO79" s="62"/>
      <c r="BP79" s="62">
        <f>SUM(BP4:BP78)</f>
        <v>-129111.67120263746</v>
      </c>
      <c r="BQ79" s="62"/>
      <c r="BR79" s="62">
        <f>SUM(BR4:BR78)</f>
        <v>-150886.2155149935</v>
      </c>
      <c r="BS79" s="62"/>
      <c r="BT79" s="62">
        <f>SUM(BT4:BT78)</f>
        <v>-72095.939661802957</v>
      </c>
      <c r="BU79" s="62"/>
      <c r="BV79" s="62">
        <f>SUM(BV4:BV78)</f>
        <v>-14021.230105773016</v>
      </c>
      <c r="BW79" s="62">
        <f>SUM(BW4:BW78)</f>
        <v>0</v>
      </c>
      <c r="BX79" s="62"/>
      <c r="BY79" s="62">
        <f>SUM(BY4:BY78)</f>
        <v>44433.928764285723</v>
      </c>
      <c r="BZ79" s="62"/>
      <c r="CA79" s="62">
        <f>SUM(CA4:CA78)</f>
        <v>18536.215714285714</v>
      </c>
      <c r="CB79" s="62"/>
      <c r="CC79" s="62">
        <f>SUM(CC4:CC78)</f>
        <v>20785.177335714285</v>
      </c>
      <c r="CD79" s="62"/>
      <c r="CE79" s="62">
        <f>SUM(CE4:CE78)</f>
        <v>4636.7857142857147</v>
      </c>
      <c r="CF79" s="62"/>
      <c r="CG79" s="62">
        <f>SUM(CG4:CG78)</f>
        <v>475.75</v>
      </c>
      <c r="CH79" s="62">
        <f>SUM(CH4:CH78)</f>
        <v>0</v>
      </c>
      <c r="CI79" s="62"/>
      <c r="CJ79" s="62">
        <f>SUM(CJ4:CJ78)</f>
        <v>44433.928764285723</v>
      </c>
      <c r="CK79" s="62"/>
      <c r="CL79" s="62">
        <f>SUM(CL4:CL78)</f>
        <v>18536.215714285714</v>
      </c>
      <c r="CM79" s="62"/>
      <c r="CN79" s="62">
        <f>SUM(CN4:CN78)</f>
        <v>20785.177335714285</v>
      </c>
      <c r="CO79" s="62"/>
      <c r="CP79" s="62">
        <f>SUM(CP4:CP78)</f>
        <v>4636.7857142857147</v>
      </c>
      <c r="CQ79" s="62"/>
      <c r="CR79" s="62">
        <f>SUM(CR4:CR78)</f>
        <v>475.75</v>
      </c>
      <c r="CS79" s="41">
        <f t="shared" si="573"/>
        <v>5873139.0882300148</v>
      </c>
      <c r="CT79" s="41">
        <f t="shared" si="574"/>
        <v>5843103.274319048</v>
      </c>
      <c r="CU79" s="41" t="e">
        <f>M79+O79+Q79+S79+#REF!+X79+Z79+AB79+AD79+#REF!+AI79+AK79+AM79+AO79+#REF!+AT79+AV79+AX79+AZ79+#REF!+BE79+BG79+BI79+BK79+#REF!+BP79+BR79+BT79+BV79+#REF!+CA79+CC79+CE79+CG79+#REF!+CL79+CN79+CP79+CR79+#REF!</f>
        <v>#REF!</v>
      </c>
      <c r="CV79" s="16"/>
    </row>
    <row r="80" spans="1:100" x14ac:dyDescent="0.25">
      <c r="H80" s="162">
        <v>0</v>
      </c>
      <c r="K80" s="37">
        <f>J80*F80</f>
        <v>0</v>
      </c>
      <c r="CS80" s="41">
        <f t="shared" si="573"/>
        <v>0</v>
      </c>
      <c r="CT80" s="41">
        <f t="shared" si="574"/>
        <v>0</v>
      </c>
      <c r="CU80" s="41" t="e">
        <f>M80+O80+Q80+S80+#REF!+X80+Z80+AB80+AD80+#REF!+AI80+AK80+AM80+AO80+#REF!+AT80+AV80+AX80+AZ80+#REF!+BE80+BG80+BI80+BK80+#REF!+BP80+BR80+BT80+BV80+#REF!+CA80+CC80+CE80+CG80+#REF!+CL80+CN80+CP80+CR80+#REF!</f>
        <v>#REF!</v>
      </c>
      <c r="CV80" s="16" t="e">
        <f t="shared" si="43"/>
        <v>#REF!</v>
      </c>
    </row>
    <row r="81" spans="2:100" x14ac:dyDescent="0.25">
      <c r="H81" s="162">
        <v>0</v>
      </c>
      <c r="K81" s="37">
        <f>J81*F81</f>
        <v>0</v>
      </c>
      <c r="CS81" s="41">
        <f t="shared" si="573"/>
        <v>0</v>
      </c>
      <c r="CT81" s="41">
        <f t="shared" si="574"/>
        <v>0</v>
      </c>
      <c r="CU81" s="41" t="e">
        <f>M81+O81+Q81+S81+#REF!+X81+Z81+AB81+AD81+#REF!+AI81+AK81+AM81+AO81+#REF!+AT81+AV81+AX81+AZ81+#REF!+BE81+BG81+BI81+BK81+#REF!+BP81+BR81+BT81+BV81+#REF!+CA81+CC81+CE81+CG81+#REF!+CL81+CN81+CP81+CR81+#REF!</f>
        <v>#REF!</v>
      </c>
      <c r="CV81" s="16" t="e">
        <f t="shared" si="43"/>
        <v>#REF!</v>
      </c>
    </row>
    <row r="82" spans="2:100" x14ac:dyDescent="0.25">
      <c r="B82" s="46" t="s">
        <v>50</v>
      </c>
      <c r="C82" s="42" t="s">
        <v>33</v>
      </c>
      <c r="D82" s="43">
        <f>F82/E82</f>
        <v>18783.483601202144</v>
      </c>
      <c r="E82" s="191">
        <f>H82*$K$106</f>
        <v>6.1223999999999998</v>
      </c>
      <c r="F82" s="94">
        <v>115000</v>
      </c>
      <c r="H82" s="162">
        <v>6</v>
      </c>
      <c r="K82" s="37"/>
      <c r="AQ82" s="36">
        <v>1</v>
      </c>
      <c r="AR82" s="37">
        <f t="shared" ref="AR82" si="575">AQ82*$F82</f>
        <v>115000</v>
      </c>
      <c r="AS82" s="38">
        <v>0.42</v>
      </c>
      <c r="AT82" s="39">
        <f t="shared" ref="AT82" si="576">AS82*AR82</f>
        <v>48300</v>
      </c>
      <c r="AU82" s="38">
        <v>0.47</v>
      </c>
      <c r="AV82" s="39">
        <f t="shared" ref="AV82" si="577">AU82*AR82</f>
        <v>54050</v>
      </c>
      <c r="AW82" s="38">
        <v>0.1</v>
      </c>
      <c r="AX82" s="39">
        <f t="shared" ref="AX82" si="578">AW82*AR82</f>
        <v>11500</v>
      </c>
      <c r="AY82" s="38">
        <v>0.01</v>
      </c>
      <c r="AZ82" s="39">
        <f t="shared" ref="AZ82" si="579">AY82*AR82</f>
        <v>1150</v>
      </c>
      <c r="CS82" s="41"/>
      <c r="CT82" s="41"/>
      <c r="CU82" s="41"/>
      <c r="CV82" s="16"/>
    </row>
    <row r="83" spans="2:100" x14ac:dyDescent="0.25">
      <c r="B83" s="48" t="s">
        <v>51</v>
      </c>
      <c r="C83" s="42" t="s">
        <v>33</v>
      </c>
      <c r="D83" s="43">
        <v>1157.4074074074074</v>
      </c>
      <c r="E83" s="191">
        <f>H83*$K$106</f>
        <v>66.325999999999993</v>
      </c>
      <c r="F83" s="94">
        <v>75231.481481481474</v>
      </c>
      <c r="G83" s="40"/>
      <c r="H83" s="162">
        <v>65</v>
      </c>
      <c r="I83" s="40"/>
      <c r="J83" s="36"/>
      <c r="K83" s="37">
        <f t="shared" ref="K83" si="580">J83*$F83</f>
        <v>0</v>
      </c>
      <c r="L83" s="38"/>
      <c r="M83" s="39">
        <f t="shared" ref="M83" si="581">L83*K83</f>
        <v>0</v>
      </c>
      <c r="N83" s="38"/>
      <c r="O83" s="39">
        <f t="shared" ref="O83" si="582">N83*K83</f>
        <v>0</v>
      </c>
      <c r="P83" s="38"/>
      <c r="Q83" s="39">
        <f t="shared" ref="Q83" si="583">P83*K83</f>
        <v>0</v>
      </c>
      <c r="R83" s="38"/>
      <c r="S83" s="39">
        <f t="shared" ref="S83" si="584">R83*K83</f>
        <v>0</v>
      </c>
      <c r="T83" s="40"/>
      <c r="U83" s="36"/>
      <c r="V83" s="37">
        <f t="shared" ref="V83" si="585">U83*$F83</f>
        <v>0</v>
      </c>
      <c r="W83" s="38"/>
      <c r="X83" s="39">
        <f t="shared" ref="X83" si="586">W83*V83</f>
        <v>0</v>
      </c>
      <c r="Y83" s="38"/>
      <c r="Z83" s="39">
        <f t="shared" ref="Z83" si="587">Y83*V83</f>
        <v>0</v>
      </c>
      <c r="AA83" s="38"/>
      <c r="AB83" s="39">
        <f t="shared" ref="AB83" si="588">AA83*V83</f>
        <v>0</v>
      </c>
      <c r="AC83" s="38"/>
      <c r="AD83" s="39">
        <f t="shared" ref="AD83" si="589">AC83*V83</f>
        <v>0</v>
      </c>
      <c r="AE83" s="40"/>
      <c r="AF83" s="36"/>
      <c r="AG83" s="37">
        <f t="shared" ref="AG83" si="590">AF83*$F83</f>
        <v>0</v>
      </c>
      <c r="AH83" s="38"/>
      <c r="AI83" s="39">
        <f t="shared" ref="AI83" si="591">AH83*AG83</f>
        <v>0</v>
      </c>
      <c r="AJ83" s="38"/>
      <c r="AK83" s="39">
        <f t="shared" ref="AK83" si="592">AJ83*AG83</f>
        <v>0</v>
      </c>
      <c r="AL83" s="38"/>
      <c r="AM83" s="39">
        <f t="shared" ref="AM83" si="593">AL83*AG83</f>
        <v>0</v>
      </c>
      <c r="AN83" s="38"/>
      <c r="AO83" s="39">
        <f t="shared" ref="AO83" si="594">AN83*AG83</f>
        <v>0</v>
      </c>
      <c r="AP83" s="40"/>
      <c r="AQ83" s="36">
        <v>1</v>
      </c>
      <c r="AR83" s="37">
        <f t="shared" ref="AR83" si="595">AQ83*$F83</f>
        <v>75231.481481481474</v>
      </c>
      <c r="AS83" s="38">
        <v>0.42</v>
      </c>
      <c r="AT83" s="39">
        <f t="shared" ref="AT83" si="596">AS83*AR83</f>
        <v>31597.222222222219</v>
      </c>
      <c r="AU83" s="38">
        <v>0.47</v>
      </c>
      <c r="AV83" s="39">
        <f t="shared" ref="AV83" si="597">AU83*AR83</f>
        <v>35358.796296296292</v>
      </c>
      <c r="AW83" s="38">
        <v>0.1</v>
      </c>
      <c r="AX83" s="39">
        <f t="shared" ref="AX83" si="598">AW83*AR83</f>
        <v>7523.1481481481478</v>
      </c>
      <c r="AY83" s="38">
        <v>0.01</v>
      </c>
      <c r="AZ83" s="39">
        <f t="shared" ref="AZ83" si="599">AY83*AR83</f>
        <v>752.31481481481478</v>
      </c>
      <c r="BA83" s="40"/>
      <c r="BB83" s="36"/>
      <c r="BC83" s="37">
        <f t="shared" ref="BC83" si="600">BB83*$F83</f>
        <v>0</v>
      </c>
      <c r="BD83" s="38"/>
      <c r="BE83" s="39">
        <f t="shared" ref="BE83" si="601">BD83*BC83</f>
        <v>0</v>
      </c>
      <c r="BF83" s="38"/>
      <c r="BG83" s="39">
        <f t="shared" ref="BG83" si="602">BF83*BC83</f>
        <v>0</v>
      </c>
      <c r="BH83" s="38"/>
      <c r="BI83" s="39">
        <f t="shared" ref="BI83" si="603">BH83*BC83</f>
        <v>0</v>
      </c>
      <c r="BJ83" s="38"/>
      <c r="BK83" s="39">
        <f t="shared" ref="BK83" si="604">BJ83*BC83</f>
        <v>0</v>
      </c>
      <c r="BL83" s="40"/>
      <c r="BM83" s="36"/>
      <c r="BN83" s="37">
        <f t="shared" ref="BN83" si="605">BM83*$F83</f>
        <v>0</v>
      </c>
      <c r="BO83" s="38"/>
      <c r="BP83" s="39">
        <f t="shared" ref="BP83" si="606">BO83*BN83</f>
        <v>0</v>
      </c>
      <c r="BQ83" s="38"/>
      <c r="BR83" s="39">
        <f t="shared" ref="BR83" si="607">BQ83*BN83</f>
        <v>0</v>
      </c>
      <c r="BS83" s="38"/>
      <c r="BT83" s="39">
        <f t="shared" ref="BT83" si="608">BS83*BN83</f>
        <v>0</v>
      </c>
      <c r="BU83" s="38"/>
      <c r="BV83" s="39">
        <f t="shared" ref="BV83" si="609">BU83*BN83</f>
        <v>0</v>
      </c>
      <c r="BW83" s="40"/>
      <c r="BX83" s="36"/>
      <c r="BY83" s="37">
        <f t="shared" ref="BY83" si="610">BX83*$F83</f>
        <v>0</v>
      </c>
      <c r="BZ83" s="38"/>
      <c r="CA83" s="39">
        <f t="shared" ref="CA83" si="611">BZ83*BY83</f>
        <v>0</v>
      </c>
      <c r="CB83" s="38"/>
      <c r="CC83" s="39">
        <f t="shared" ref="CC83" si="612">CB83*BY83</f>
        <v>0</v>
      </c>
      <c r="CD83" s="38"/>
      <c r="CE83" s="39">
        <f t="shared" ref="CE83" si="613">CD83*BY83</f>
        <v>0</v>
      </c>
      <c r="CF83" s="38"/>
      <c r="CG83" s="39">
        <f t="shared" ref="CG83" si="614">CF83*BY83</f>
        <v>0</v>
      </c>
      <c r="CH83" s="40"/>
      <c r="CI83" s="36"/>
      <c r="CJ83" s="37">
        <f t="shared" ref="CJ83" si="615">CI83*$F83</f>
        <v>0</v>
      </c>
      <c r="CK83" s="38"/>
      <c r="CL83" s="39">
        <f t="shared" ref="CL83" si="616">CK83*CJ83</f>
        <v>0</v>
      </c>
      <c r="CM83" s="38"/>
      <c r="CN83" s="39">
        <f t="shared" ref="CN83" si="617">CM83*CJ83</f>
        <v>0</v>
      </c>
      <c r="CO83" s="38"/>
      <c r="CP83" s="39">
        <f t="shared" ref="CP83" si="618">CO83*CJ83</f>
        <v>0</v>
      </c>
      <c r="CQ83" s="38"/>
      <c r="CR83" s="39">
        <f t="shared" ref="CR83" si="619">CQ83*CJ83</f>
        <v>0</v>
      </c>
      <c r="CS83" s="41">
        <f t="shared" si="573"/>
        <v>75231.481481481474</v>
      </c>
      <c r="CT83" s="41">
        <f t="shared" si="574"/>
        <v>75231.481481481474</v>
      </c>
      <c r="CU83" s="41" t="e">
        <f>M83+O83+Q83+S83+#REF!+X83+Z83+AB83+AD83+#REF!+AI83+AK83+AM83+AO83+#REF!+AT83+AV83+AX83+AZ83+#REF!+BE83+BG83+BI83+BK83+#REF!+BP83+BR83+BT83+BV83+#REF!+CA83+CC83+CE83+CG83+#REF!+CL83+CN83+CP83+CR83+#REF!</f>
        <v>#REF!</v>
      </c>
      <c r="CV83" s="16" t="e">
        <f t="shared" si="43"/>
        <v>#REF!</v>
      </c>
    </row>
    <row r="84" spans="2:100" x14ac:dyDescent="0.25">
      <c r="B84" s="46"/>
      <c r="C84" s="54"/>
      <c r="D84" s="71"/>
      <c r="E84" s="72"/>
      <c r="F84" s="72"/>
      <c r="G84" s="55"/>
      <c r="H84" s="160"/>
      <c r="I84" s="55"/>
      <c r="J84" s="56"/>
      <c r="K84" s="73"/>
      <c r="L84" s="57"/>
      <c r="M84" s="74"/>
      <c r="N84" s="57"/>
      <c r="O84" s="74"/>
      <c r="P84" s="57"/>
      <c r="Q84" s="74"/>
      <c r="R84" s="57"/>
      <c r="S84" s="74"/>
      <c r="T84" s="55"/>
      <c r="U84" s="56"/>
      <c r="V84" s="73"/>
      <c r="W84" s="57"/>
      <c r="X84" s="74"/>
      <c r="Y84" s="57"/>
      <c r="Z84" s="74"/>
      <c r="AA84" s="57"/>
      <c r="AB84" s="74"/>
      <c r="AC84" s="57"/>
      <c r="AD84" s="74"/>
      <c r="AE84" s="55"/>
      <c r="AF84" s="56"/>
      <c r="AG84" s="73"/>
      <c r="AH84" s="57"/>
      <c r="AI84" s="74"/>
      <c r="AJ84" s="57"/>
      <c r="AK84" s="74"/>
      <c r="AL84" s="57"/>
      <c r="AM84" s="74"/>
      <c r="AN84" s="57"/>
      <c r="AO84" s="74"/>
      <c r="AP84" s="55"/>
      <c r="AQ84" s="56"/>
      <c r="AR84" s="73"/>
      <c r="AS84" s="57"/>
      <c r="AT84" s="74"/>
      <c r="AU84" s="57"/>
      <c r="AV84" s="74"/>
      <c r="AW84" s="57"/>
      <c r="AX84" s="74"/>
      <c r="AY84" s="57"/>
      <c r="AZ84" s="74"/>
      <c r="BA84" s="55"/>
      <c r="BB84" s="56"/>
      <c r="BC84" s="73"/>
      <c r="BD84" s="57"/>
      <c r="BE84" s="74"/>
      <c r="BF84" s="57"/>
      <c r="BG84" s="74"/>
      <c r="BH84" s="57"/>
      <c r="BI84" s="74"/>
      <c r="BJ84" s="57"/>
      <c r="BK84" s="74"/>
      <c r="BL84" s="55"/>
      <c r="BM84" s="56"/>
      <c r="BN84" s="73"/>
      <c r="BO84" s="57"/>
      <c r="BP84" s="74"/>
      <c r="BQ84" s="57"/>
      <c r="BR84" s="74"/>
      <c r="BS84" s="57"/>
      <c r="BT84" s="74"/>
      <c r="BU84" s="57"/>
      <c r="BV84" s="74"/>
      <c r="BW84" s="55"/>
      <c r="BX84" s="56"/>
      <c r="BY84" s="73"/>
      <c r="BZ84" s="57"/>
      <c r="CA84" s="74"/>
      <c r="CB84" s="57"/>
      <c r="CC84" s="74"/>
      <c r="CD84" s="57"/>
      <c r="CE84" s="74"/>
      <c r="CF84" s="57"/>
      <c r="CG84" s="74"/>
      <c r="CH84" s="55"/>
      <c r="CI84" s="56"/>
      <c r="CJ84" s="73"/>
      <c r="CK84" s="57"/>
      <c r="CL84" s="74"/>
      <c r="CM84" s="57"/>
      <c r="CN84" s="74"/>
      <c r="CO84" s="57"/>
      <c r="CP84" s="74"/>
      <c r="CQ84" s="57"/>
      <c r="CR84" s="74"/>
      <c r="CS84" s="41">
        <f t="shared" si="573"/>
        <v>0</v>
      </c>
      <c r="CT84" s="41">
        <f t="shared" si="574"/>
        <v>0</v>
      </c>
      <c r="CU84" s="41" t="e">
        <f>M84+O84+Q84+S84+#REF!+X84+Z84+AB84+AD84+#REF!+AI84+AK84+AM84+AO84+#REF!+AT84+AV84+AX84+AZ84+#REF!+BE84+BG84+BI84+BK84+#REF!+BP84+BR84+BT84+BV84+#REF!+CA84+CC84+CE84+CG84+#REF!+CL84+CN84+CP84+CR84+#REF!</f>
        <v>#REF!</v>
      </c>
      <c r="CV84" s="16" t="e">
        <f t="shared" si="43"/>
        <v>#REF!</v>
      </c>
    </row>
    <row r="85" spans="2:100" x14ac:dyDescent="0.25">
      <c r="B85" s="46"/>
      <c r="C85" s="54"/>
      <c r="D85" s="71"/>
      <c r="E85" s="74" t="s">
        <v>250</v>
      </c>
      <c r="F85" s="72">
        <f>F79+F82+F83</f>
        <v>6063370.5697114961</v>
      </c>
      <c r="G85" s="55"/>
      <c r="H85" s="160"/>
      <c r="I85" s="55"/>
      <c r="J85" s="56"/>
      <c r="K85" s="73"/>
      <c r="L85" s="57"/>
      <c r="M85" s="74"/>
      <c r="N85" s="57"/>
      <c r="O85" s="74"/>
      <c r="P85" s="57"/>
      <c r="Q85" s="74"/>
      <c r="R85" s="57"/>
      <c r="S85" s="74"/>
      <c r="T85" s="55"/>
      <c r="U85" s="56"/>
      <c r="V85" s="73"/>
      <c r="W85" s="57"/>
      <c r="X85" s="74"/>
      <c r="Y85" s="57"/>
      <c r="Z85" s="74"/>
      <c r="AA85" s="57"/>
      <c r="AB85" s="74"/>
      <c r="AC85" s="57"/>
      <c r="AD85" s="74"/>
      <c r="AE85" s="55"/>
      <c r="AF85" s="56"/>
      <c r="AG85" s="73"/>
      <c r="AH85" s="57"/>
      <c r="AI85" s="74"/>
      <c r="AJ85" s="57"/>
      <c r="AK85" s="74"/>
      <c r="AL85" s="57"/>
      <c r="AM85" s="74"/>
      <c r="AN85" s="57"/>
      <c r="AO85" s="74"/>
      <c r="AP85" s="55"/>
      <c r="AQ85" s="56"/>
      <c r="AR85" s="73"/>
      <c r="AS85" s="57"/>
      <c r="AT85" s="74"/>
      <c r="AU85" s="57"/>
      <c r="AV85" s="74"/>
      <c r="AW85" s="57"/>
      <c r="AX85" s="74"/>
      <c r="AY85" s="57"/>
      <c r="AZ85" s="74"/>
      <c r="BA85" s="55"/>
      <c r="BB85" s="56"/>
      <c r="BC85" s="73"/>
      <c r="BD85" s="57"/>
      <c r="BE85" s="74"/>
      <c r="BF85" s="57"/>
      <c r="BG85" s="74"/>
      <c r="BH85" s="57"/>
      <c r="BI85" s="74"/>
      <c r="BJ85" s="57"/>
      <c r="BK85" s="74"/>
      <c r="BL85" s="55"/>
      <c r="BM85" s="56"/>
      <c r="BN85" s="73"/>
      <c r="BO85" s="57"/>
      <c r="BP85" s="74"/>
      <c r="BQ85" s="57"/>
      <c r="BR85" s="74"/>
      <c r="BS85" s="57"/>
      <c r="BT85" s="74"/>
      <c r="BU85" s="57"/>
      <c r="BV85" s="74"/>
      <c r="BW85" s="55"/>
      <c r="BX85" s="56"/>
      <c r="BY85" s="73"/>
      <c r="BZ85" s="57"/>
      <c r="CA85" s="74"/>
      <c r="CB85" s="57"/>
      <c r="CC85" s="74"/>
      <c r="CD85" s="57"/>
      <c r="CE85" s="74"/>
      <c r="CF85" s="57"/>
      <c r="CG85" s="74"/>
      <c r="CH85" s="55"/>
      <c r="CI85" s="56"/>
      <c r="CJ85" s="73"/>
      <c r="CK85" s="57"/>
      <c r="CL85" s="74"/>
      <c r="CM85" s="57"/>
      <c r="CN85" s="74"/>
      <c r="CO85" s="57"/>
      <c r="CP85" s="74"/>
      <c r="CQ85" s="57"/>
      <c r="CR85" s="74"/>
      <c r="CS85" s="41">
        <f t="shared" si="573"/>
        <v>6063370.5697114961</v>
      </c>
      <c r="CT85" s="41">
        <f t="shared" si="574"/>
        <v>0</v>
      </c>
      <c r="CU85" s="41" t="e">
        <f>M85+O85+Q85+S85+#REF!+X85+Z85+AB85+AD85+#REF!+AI85+AK85+AM85+AO85+#REF!+AT85+AV85+AX85+AZ85+#REF!+BE85+BG85+BI85+BK85+#REF!+BP85+BR85+BT85+BV85+#REF!+CA85+CC85+CE85+CG85+#REF!+CL85+CN85+CP85+CR85+#REF!</f>
        <v>#REF!</v>
      </c>
      <c r="CV85" s="16" t="e">
        <f t="shared" ref="CV85:CV103" si="620">IF(AND(CS85=CT85,CT85=CU85,CS85=CU85),0,1)</f>
        <v>#REF!</v>
      </c>
    </row>
    <row r="86" spans="2:100" x14ac:dyDescent="0.25">
      <c r="B86" s="46"/>
      <c r="C86" s="54"/>
      <c r="D86" s="71"/>
      <c r="E86" s="74" t="s">
        <v>227</v>
      </c>
      <c r="F86" s="72">
        <v>5438763.8861294147</v>
      </c>
      <c r="G86" s="55"/>
      <c r="H86" s="160"/>
      <c r="I86" s="55"/>
      <c r="J86" s="56"/>
      <c r="K86" s="73"/>
      <c r="L86" s="57"/>
      <c r="M86" s="74"/>
      <c r="N86" s="57"/>
      <c r="O86" s="74"/>
      <c r="P86" s="57"/>
      <c r="Q86" s="74"/>
      <c r="R86" s="57"/>
      <c r="S86" s="74"/>
      <c r="T86" s="55"/>
      <c r="U86" s="56"/>
      <c r="V86" s="73"/>
      <c r="W86" s="57"/>
      <c r="X86" s="74"/>
      <c r="Y86" s="57"/>
      <c r="Z86" s="74"/>
      <c r="AA86" s="57"/>
      <c r="AB86" s="74"/>
      <c r="AC86" s="57"/>
      <c r="AD86" s="74"/>
      <c r="AE86" s="55"/>
      <c r="AF86" s="56"/>
      <c r="AG86" s="73"/>
      <c r="AH86" s="57"/>
      <c r="AI86" s="74"/>
      <c r="AJ86" s="57"/>
      <c r="AK86" s="74"/>
      <c r="AL86" s="57"/>
      <c r="AM86" s="74"/>
      <c r="AN86" s="57"/>
      <c r="AO86" s="74"/>
      <c r="AP86" s="55"/>
      <c r="AQ86" s="56"/>
      <c r="AR86" s="73"/>
      <c r="AS86" s="57"/>
      <c r="AT86" s="74"/>
      <c r="AU86" s="57"/>
      <c r="AV86" s="74"/>
      <c r="AW86" s="57"/>
      <c r="AX86" s="74"/>
      <c r="AY86" s="57"/>
      <c r="AZ86" s="74"/>
      <c r="BA86" s="55"/>
      <c r="BB86" s="56"/>
      <c r="BC86" s="73"/>
      <c r="BD86" s="57"/>
      <c r="BE86" s="74"/>
      <c r="BF86" s="57"/>
      <c r="BG86" s="74"/>
      <c r="BH86" s="57"/>
      <c r="BI86" s="74"/>
      <c r="BJ86" s="57"/>
      <c r="BK86" s="74"/>
      <c r="BL86" s="55"/>
      <c r="BM86" s="56"/>
      <c r="BN86" s="73"/>
      <c r="BO86" s="57"/>
      <c r="BP86" s="74"/>
      <c r="BQ86" s="57"/>
      <c r="BR86" s="74"/>
      <c r="BS86" s="57"/>
      <c r="BT86" s="74"/>
      <c r="BU86" s="57"/>
      <c r="BV86" s="74"/>
      <c r="BW86" s="55"/>
      <c r="BX86" s="56"/>
      <c r="BY86" s="73"/>
      <c r="BZ86" s="57"/>
      <c r="CA86" s="74"/>
      <c r="CB86" s="57"/>
      <c r="CC86" s="74"/>
      <c r="CD86" s="57"/>
      <c r="CE86" s="74"/>
      <c r="CF86" s="57"/>
      <c r="CG86" s="74"/>
      <c r="CH86" s="55"/>
      <c r="CI86" s="56"/>
      <c r="CJ86" s="73"/>
      <c r="CK86" s="57"/>
      <c r="CL86" s="74"/>
      <c r="CM86" s="57"/>
      <c r="CN86" s="74"/>
      <c r="CO86" s="57"/>
      <c r="CP86" s="74"/>
      <c r="CQ86" s="57"/>
      <c r="CR86" s="74"/>
      <c r="CS86" s="41"/>
      <c r="CT86" s="41"/>
      <c r="CU86" s="41"/>
      <c r="CV86" s="16"/>
    </row>
    <row r="87" spans="2:100" x14ac:dyDescent="0.25">
      <c r="B87" s="46"/>
      <c r="C87" s="54"/>
      <c r="D87" s="71"/>
      <c r="E87" s="74" t="s">
        <v>228</v>
      </c>
      <c r="F87" s="72">
        <v>3694467</v>
      </c>
      <c r="G87" s="55"/>
      <c r="H87" s="160"/>
      <c r="I87" s="55"/>
      <c r="J87" s="56"/>
      <c r="K87" s="73"/>
      <c r="L87" s="57"/>
      <c r="M87" s="74"/>
      <c r="N87" s="57"/>
      <c r="O87" s="74"/>
      <c r="P87" s="57"/>
      <c r="Q87" s="74"/>
      <c r="R87" s="57"/>
      <c r="S87" s="74"/>
      <c r="T87" s="55"/>
      <c r="U87" s="56"/>
      <c r="V87" s="73"/>
      <c r="W87" s="57"/>
      <c r="X87" s="74"/>
      <c r="Y87" s="57"/>
      <c r="Z87" s="74"/>
      <c r="AA87" s="57"/>
      <c r="AB87" s="74"/>
      <c r="AC87" s="57"/>
      <c r="AD87" s="74"/>
      <c r="AE87" s="55"/>
      <c r="AF87" s="56"/>
      <c r="AG87" s="73"/>
      <c r="AH87" s="57"/>
      <c r="AI87" s="74"/>
      <c r="AJ87" s="57"/>
      <c r="AK87" s="74"/>
      <c r="AL87" s="57"/>
      <c r="AM87" s="74"/>
      <c r="AN87" s="57"/>
      <c r="AO87" s="74"/>
      <c r="AP87" s="55"/>
      <c r="AQ87" s="56"/>
      <c r="AR87" s="73"/>
      <c r="AS87" s="57"/>
      <c r="AT87" s="74"/>
      <c r="AU87" s="57"/>
      <c r="AV87" s="74"/>
      <c r="AW87" s="57"/>
      <c r="AX87" s="74"/>
      <c r="AY87" s="57"/>
      <c r="AZ87" s="74"/>
      <c r="BA87" s="55"/>
      <c r="BB87" s="56"/>
      <c r="BC87" s="73"/>
      <c r="BD87" s="57"/>
      <c r="BE87" s="74"/>
      <c r="BF87" s="57"/>
      <c r="BG87" s="74"/>
      <c r="BH87" s="57"/>
      <c r="BI87" s="74"/>
      <c r="BJ87" s="57"/>
      <c r="BK87" s="74"/>
      <c r="BL87" s="55"/>
      <c r="BM87" s="56"/>
      <c r="BN87" s="73"/>
      <c r="BO87" s="57"/>
      <c r="BP87" s="74"/>
      <c r="BQ87" s="57"/>
      <c r="BR87" s="74"/>
      <c r="BS87" s="57"/>
      <c r="BT87" s="74"/>
      <c r="BU87" s="57"/>
      <c r="BV87" s="74"/>
      <c r="BW87" s="55"/>
      <c r="BX87" s="56"/>
      <c r="BY87" s="73"/>
      <c r="BZ87" s="57"/>
      <c r="CA87" s="74"/>
      <c r="CB87" s="57"/>
      <c r="CC87" s="74"/>
      <c r="CD87" s="57"/>
      <c r="CE87" s="74"/>
      <c r="CF87" s="57"/>
      <c r="CG87" s="74"/>
      <c r="CH87" s="55"/>
      <c r="CI87" s="56"/>
      <c r="CJ87" s="73"/>
      <c r="CK87" s="57"/>
      <c r="CL87" s="74"/>
      <c r="CM87" s="57"/>
      <c r="CN87" s="74"/>
      <c r="CO87" s="57"/>
      <c r="CP87" s="74"/>
      <c r="CQ87" s="57"/>
      <c r="CR87" s="74"/>
      <c r="CS87" s="41"/>
      <c r="CT87" s="41"/>
      <c r="CU87" s="41"/>
      <c r="CV87" s="16"/>
    </row>
    <row r="88" spans="2:100" x14ac:dyDescent="0.25">
      <c r="B88" s="46"/>
      <c r="C88" s="54"/>
      <c r="D88" s="71"/>
      <c r="E88" s="72"/>
      <c r="F88" s="72">
        <f>F85-F87</f>
        <v>2368903.5697114961</v>
      </c>
      <c r="G88" s="55"/>
      <c r="H88" s="160"/>
      <c r="I88" s="55"/>
      <c r="J88" s="56"/>
      <c r="K88" s="73"/>
      <c r="L88" s="57"/>
      <c r="M88" s="74"/>
      <c r="N88" s="57"/>
      <c r="O88" s="74"/>
      <c r="P88" s="57"/>
      <c r="Q88" s="74"/>
      <c r="R88" s="57"/>
      <c r="S88" s="74"/>
      <c r="T88" s="55"/>
      <c r="U88" s="56"/>
      <c r="V88" s="73"/>
      <c r="W88" s="57"/>
      <c r="X88" s="74"/>
      <c r="Y88" s="57"/>
      <c r="Z88" s="74"/>
      <c r="AA88" s="57"/>
      <c r="AB88" s="74"/>
      <c r="AC88" s="57"/>
      <c r="AD88" s="74"/>
      <c r="AE88" s="55"/>
      <c r="AF88" s="56"/>
      <c r="AG88" s="73"/>
      <c r="AH88" s="57"/>
      <c r="AI88" s="74"/>
      <c r="AJ88" s="57"/>
      <c r="AK88" s="74"/>
      <c r="AL88" s="57"/>
      <c r="AM88" s="74"/>
      <c r="AN88" s="57"/>
      <c r="AO88" s="74"/>
      <c r="AP88" s="55"/>
      <c r="AQ88" s="56"/>
      <c r="AR88" s="73"/>
      <c r="AS88" s="57"/>
      <c r="AT88" s="74"/>
      <c r="AU88" s="57"/>
      <c r="AV88" s="74"/>
      <c r="AW88" s="57"/>
      <c r="AX88" s="74"/>
      <c r="AY88" s="57"/>
      <c r="AZ88" s="74"/>
      <c r="BA88" s="55"/>
      <c r="BB88" s="56"/>
      <c r="BC88" s="73"/>
      <c r="BD88" s="57"/>
      <c r="BE88" s="74"/>
      <c r="BF88" s="57"/>
      <c r="BG88" s="74"/>
      <c r="BH88" s="57"/>
      <c r="BI88" s="74"/>
      <c r="BJ88" s="57"/>
      <c r="BK88" s="74"/>
      <c r="BL88" s="55"/>
      <c r="BM88" s="56"/>
      <c r="BN88" s="73"/>
      <c r="BO88" s="57"/>
      <c r="BP88" s="74"/>
      <c r="BQ88" s="57"/>
      <c r="BR88" s="74"/>
      <c r="BS88" s="57"/>
      <c r="BT88" s="74"/>
      <c r="BU88" s="57"/>
      <c r="BV88" s="74"/>
      <c r="BW88" s="55"/>
      <c r="BX88" s="56"/>
      <c r="BY88" s="73"/>
      <c r="BZ88" s="57"/>
      <c r="CA88" s="74"/>
      <c r="CB88" s="57"/>
      <c r="CC88" s="74"/>
      <c r="CD88" s="57"/>
      <c r="CE88" s="74"/>
      <c r="CF88" s="57"/>
      <c r="CG88" s="74"/>
      <c r="CH88" s="55"/>
      <c r="CI88" s="56"/>
      <c r="CJ88" s="73"/>
      <c r="CK88" s="57"/>
      <c r="CL88" s="74"/>
      <c r="CM88" s="57"/>
      <c r="CN88" s="74"/>
      <c r="CO88" s="57"/>
      <c r="CP88" s="74"/>
      <c r="CQ88" s="57"/>
      <c r="CR88" s="74"/>
      <c r="CS88" s="41"/>
      <c r="CT88" s="41"/>
      <c r="CU88" s="41"/>
      <c r="CV88" s="16"/>
    </row>
    <row r="89" spans="2:100" x14ac:dyDescent="0.25">
      <c r="B89" s="46"/>
      <c r="C89" s="54"/>
      <c r="D89" s="71"/>
      <c r="E89" s="72"/>
      <c r="F89" s="72"/>
      <c r="G89" s="55"/>
      <c r="H89" s="160"/>
      <c r="I89" s="55"/>
      <c r="J89" s="56"/>
      <c r="K89" s="73"/>
      <c r="L89" s="57"/>
      <c r="M89" s="74"/>
      <c r="N89" s="57"/>
      <c r="O89" s="74"/>
      <c r="P89" s="57"/>
      <c r="Q89" s="74"/>
      <c r="R89" s="57"/>
      <c r="S89" s="74"/>
      <c r="T89" s="55"/>
      <c r="U89" s="56"/>
      <c r="V89" s="73"/>
      <c r="W89" s="57"/>
      <c r="X89" s="74"/>
      <c r="Y89" s="57"/>
      <c r="Z89" s="74"/>
      <c r="AA89" s="57"/>
      <c r="AB89" s="74"/>
      <c r="AC89" s="57"/>
      <c r="AD89" s="74"/>
      <c r="AE89" s="55"/>
      <c r="AF89" s="56"/>
      <c r="AG89" s="73"/>
      <c r="AH89" s="57"/>
      <c r="AI89" s="74"/>
      <c r="AJ89" s="57"/>
      <c r="AK89" s="74"/>
      <c r="AL89" s="57"/>
      <c r="AM89" s="74"/>
      <c r="AN89" s="57"/>
      <c r="AO89" s="74"/>
      <c r="AP89" s="55"/>
      <c r="AQ89" s="56"/>
      <c r="AR89" s="73"/>
      <c r="AS89" s="57"/>
      <c r="AT89" s="74"/>
      <c r="AU89" s="57"/>
      <c r="AV89" s="74"/>
      <c r="AW89" s="57"/>
      <c r="AX89" s="74"/>
      <c r="AY89" s="57"/>
      <c r="AZ89" s="74"/>
      <c r="BA89" s="55"/>
      <c r="BB89" s="56"/>
      <c r="BC89" s="73"/>
      <c r="BD89" s="57"/>
      <c r="BE89" s="74"/>
      <c r="BF89" s="57"/>
      <c r="BG89" s="74"/>
      <c r="BH89" s="57"/>
      <c r="BI89" s="74"/>
      <c r="BJ89" s="57"/>
      <c r="BK89" s="74"/>
      <c r="BL89" s="55"/>
      <c r="BM89" s="56"/>
      <c r="BN89" s="73"/>
      <c r="BO89" s="57"/>
      <c r="BP89" s="74"/>
      <c r="BQ89" s="57"/>
      <c r="BR89" s="74"/>
      <c r="BS89" s="57"/>
      <c r="BT89" s="74"/>
      <c r="BU89" s="57"/>
      <c r="BV89" s="74"/>
      <c r="BW89" s="55"/>
      <c r="BX89" s="56"/>
      <c r="BY89" s="73"/>
      <c r="BZ89" s="57"/>
      <c r="CA89" s="74"/>
      <c r="CB89" s="57"/>
      <c r="CC89" s="74"/>
      <c r="CD89" s="57"/>
      <c r="CE89" s="74"/>
      <c r="CF89" s="57"/>
      <c r="CG89" s="74"/>
      <c r="CH89" s="55"/>
      <c r="CI89" s="56"/>
      <c r="CJ89" s="73"/>
      <c r="CK89" s="57"/>
      <c r="CL89" s="74"/>
      <c r="CM89" s="57"/>
      <c r="CN89" s="74"/>
      <c r="CO89" s="57"/>
      <c r="CP89" s="74"/>
      <c r="CQ89" s="57"/>
      <c r="CR89" s="74"/>
      <c r="CS89" s="41"/>
      <c r="CT89" s="41"/>
      <c r="CU89" s="41"/>
      <c r="CV89" s="16"/>
    </row>
    <row r="90" spans="2:100" x14ac:dyDescent="0.25">
      <c r="B90" s="46"/>
      <c r="C90" s="54"/>
      <c r="D90" s="71"/>
      <c r="E90" s="72"/>
      <c r="F90" s="72"/>
      <c r="G90" s="55"/>
      <c r="H90" s="160"/>
      <c r="I90" s="55"/>
      <c r="J90" s="56"/>
      <c r="K90" s="73"/>
      <c r="L90" s="57"/>
      <c r="M90" s="74"/>
      <c r="N90" s="57"/>
      <c r="O90" s="74"/>
      <c r="P90" s="57"/>
      <c r="Q90" s="74"/>
      <c r="R90" s="57"/>
      <c r="S90" s="74"/>
      <c r="T90" s="55"/>
      <c r="U90" s="56"/>
      <c r="V90" s="73"/>
      <c r="W90" s="57"/>
      <c r="X90" s="74"/>
      <c r="Y90" s="57"/>
      <c r="Z90" s="74"/>
      <c r="AA90" s="57"/>
      <c r="AB90" s="74"/>
      <c r="AC90" s="57"/>
      <c r="AD90" s="74"/>
      <c r="AE90" s="55"/>
      <c r="AF90" s="56"/>
      <c r="AG90" s="73"/>
      <c r="AH90" s="57"/>
      <c r="AI90" s="74"/>
      <c r="AJ90" s="57"/>
      <c r="AK90" s="74"/>
      <c r="AL90" s="57"/>
      <c r="AM90" s="74"/>
      <c r="AN90" s="57"/>
      <c r="AO90" s="74"/>
      <c r="AP90" s="55"/>
      <c r="AQ90" s="56"/>
      <c r="AR90" s="73"/>
      <c r="AS90" s="57"/>
      <c r="AT90" s="74"/>
      <c r="AU90" s="57"/>
      <c r="AV90" s="74"/>
      <c r="AW90" s="57"/>
      <c r="AX90" s="74"/>
      <c r="AY90" s="57"/>
      <c r="AZ90" s="74"/>
      <c r="BA90" s="55"/>
      <c r="BB90" s="56"/>
      <c r="BC90" s="73"/>
      <c r="BD90" s="57"/>
      <c r="BE90" s="74"/>
      <c r="BF90" s="57"/>
      <c r="BG90" s="74"/>
      <c r="BH90" s="57"/>
      <c r="BI90" s="74"/>
      <c r="BJ90" s="57"/>
      <c r="BK90" s="74"/>
      <c r="BL90" s="55"/>
      <c r="BM90" s="56"/>
      <c r="BN90" s="73"/>
      <c r="BO90" s="57"/>
      <c r="BP90" s="74"/>
      <c r="BQ90" s="57"/>
      <c r="BR90" s="74"/>
      <c r="BS90" s="57"/>
      <c r="BT90" s="74"/>
      <c r="BU90" s="57"/>
      <c r="BV90" s="74"/>
      <c r="BW90" s="55"/>
      <c r="BX90" s="56"/>
      <c r="BY90" s="73"/>
      <c r="BZ90" s="57"/>
      <c r="CA90" s="74"/>
      <c r="CB90" s="57"/>
      <c r="CC90" s="74"/>
      <c r="CD90" s="57"/>
      <c r="CE90" s="74"/>
      <c r="CF90" s="57"/>
      <c r="CG90" s="74"/>
      <c r="CH90" s="55"/>
      <c r="CI90" s="56"/>
      <c r="CJ90" s="73"/>
      <c r="CK90" s="57"/>
      <c r="CL90" s="74"/>
      <c r="CM90" s="57"/>
      <c r="CN90" s="74"/>
      <c r="CO90" s="57"/>
      <c r="CP90" s="74"/>
      <c r="CQ90" s="57"/>
      <c r="CR90" s="74"/>
      <c r="CS90" s="41"/>
      <c r="CT90" s="41"/>
      <c r="CU90" s="41"/>
      <c r="CV90" s="16"/>
    </row>
    <row r="91" spans="2:100" ht="15.75" thickBot="1" x14ac:dyDescent="0.3">
      <c r="B91" s="46"/>
      <c r="C91" s="54"/>
      <c r="D91" s="71"/>
      <c r="E91" s="72"/>
      <c r="F91" s="72"/>
      <c r="G91" s="55"/>
      <c r="H91" s="160"/>
      <c r="I91" s="55"/>
      <c r="J91" s="56"/>
      <c r="K91" s="73"/>
      <c r="L91" s="57"/>
      <c r="M91" s="74"/>
      <c r="N91" s="57"/>
      <c r="O91" s="74"/>
      <c r="P91" s="57"/>
      <c r="Q91" s="74"/>
      <c r="R91" s="57"/>
      <c r="S91" s="74"/>
      <c r="T91" s="55"/>
      <c r="U91" s="56"/>
      <c r="V91" s="73"/>
      <c r="W91" s="57"/>
      <c r="X91" s="74"/>
      <c r="Y91" s="57"/>
      <c r="Z91" s="74"/>
      <c r="AA91" s="57"/>
      <c r="AB91" s="74"/>
      <c r="AC91" s="57"/>
      <c r="AD91" s="74"/>
      <c r="AE91" s="55"/>
      <c r="AF91" s="56"/>
      <c r="AG91" s="73"/>
      <c r="AH91" s="57"/>
      <c r="AI91" s="74"/>
      <c r="AJ91" s="57"/>
      <c r="AK91" s="74"/>
      <c r="AL91" s="57"/>
      <c r="AM91" s="74"/>
      <c r="AN91" s="57"/>
      <c r="AO91" s="74"/>
      <c r="AP91" s="55"/>
      <c r="AQ91" s="56"/>
      <c r="AR91" s="73"/>
      <c r="AS91" s="57"/>
      <c r="AT91" s="74"/>
      <c r="AU91" s="57"/>
      <c r="AV91" s="74"/>
      <c r="AW91" s="57"/>
      <c r="AX91" s="74"/>
      <c r="AY91" s="57"/>
      <c r="AZ91" s="74"/>
      <c r="BA91" s="55"/>
      <c r="BB91" s="56"/>
      <c r="BC91" s="73"/>
      <c r="BD91" s="57"/>
      <c r="BE91" s="74"/>
      <c r="BF91" s="57"/>
      <c r="BG91" s="74"/>
      <c r="BH91" s="57"/>
      <c r="BI91" s="74"/>
      <c r="BJ91" s="57"/>
      <c r="BK91" s="74"/>
      <c r="BL91" s="55"/>
      <c r="BM91" s="56"/>
      <c r="BN91" s="73"/>
      <c r="BO91" s="57"/>
      <c r="BP91" s="74"/>
      <c r="BQ91" s="57"/>
      <c r="BR91" s="74"/>
      <c r="BS91" s="57"/>
      <c r="BT91" s="74"/>
      <c r="BU91" s="57"/>
      <c r="BV91" s="74"/>
      <c r="BW91" s="55"/>
      <c r="BX91" s="56"/>
      <c r="BY91" s="73"/>
      <c r="BZ91" s="57"/>
      <c r="CA91" s="74"/>
      <c r="CB91" s="57"/>
      <c r="CC91" s="74"/>
      <c r="CD91" s="57"/>
      <c r="CE91" s="74"/>
      <c r="CF91" s="57"/>
      <c r="CG91" s="74"/>
      <c r="CH91" s="55"/>
      <c r="CI91" s="56"/>
      <c r="CJ91" s="73"/>
      <c r="CK91" s="57"/>
      <c r="CL91" s="74"/>
      <c r="CM91" s="57"/>
      <c r="CN91" s="74"/>
      <c r="CO91" s="57"/>
      <c r="CP91" s="74"/>
      <c r="CQ91" s="57"/>
      <c r="CR91" s="74"/>
      <c r="CS91" s="41"/>
      <c r="CT91" s="41"/>
      <c r="CU91" s="41"/>
      <c r="CV91" s="16"/>
    </row>
    <row r="92" spans="2:100" ht="15.75" thickTop="1" x14ac:dyDescent="0.25">
      <c r="B92" s="163" t="s">
        <v>252</v>
      </c>
      <c r="C92" s="164"/>
      <c r="D92" s="165"/>
      <c r="E92" s="166"/>
      <c r="F92" s="167">
        <v>42735</v>
      </c>
      <c r="G92" s="168"/>
      <c r="H92" s="169"/>
      <c r="I92" s="168"/>
      <c r="J92" s="170"/>
      <c r="K92" s="171">
        <v>42735</v>
      </c>
      <c r="L92" s="57"/>
      <c r="M92" s="74"/>
      <c r="N92" s="57"/>
      <c r="O92" s="74"/>
      <c r="P92" s="57"/>
      <c r="Q92" s="74"/>
      <c r="R92" s="57"/>
      <c r="S92" s="74"/>
      <c r="T92" s="55"/>
      <c r="U92" s="56"/>
      <c r="V92" s="73"/>
      <c r="W92" s="57"/>
      <c r="X92" s="74"/>
      <c r="Y92" s="57"/>
      <c r="Z92" s="74"/>
      <c r="AA92" s="57"/>
      <c r="AB92" s="74"/>
      <c r="AC92" s="57"/>
      <c r="AD92" s="74"/>
      <c r="AE92" s="55"/>
      <c r="AF92" s="56"/>
      <c r="AG92" s="73"/>
      <c r="AH92" s="57"/>
      <c r="AI92" s="74"/>
      <c r="AJ92" s="57"/>
      <c r="AK92" s="74"/>
      <c r="AL92" s="57"/>
      <c r="AM92" s="74"/>
      <c r="AN92" s="57"/>
      <c r="AO92" s="74"/>
      <c r="AP92" s="55"/>
      <c r="AQ92" s="56"/>
      <c r="AR92" s="73"/>
      <c r="AS92" s="57"/>
      <c r="AT92" s="74"/>
      <c r="AU92" s="57"/>
      <c r="AV92" s="74"/>
      <c r="AW92" s="57"/>
      <c r="AX92" s="74"/>
      <c r="AY92" s="57"/>
      <c r="AZ92" s="74"/>
      <c r="BA92" s="55"/>
      <c r="BB92" s="56"/>
      <c r="BC92" s="73"/>
      <c r="BD92" s="57"/>
      <c r="BE92" s="74"/>
      <c r="BF92" s="57"/>
      <c r="BG92" s="74"/>
      <c r="BH92" s="57"/>
      <c r="BI92" s="74"/>
      <c r="BJ92" s="57"/>
      <c r="BK92" s="74"/>
      <c r="BL92" s="55"/>
      <c r="BM92" s="56"/>
      <c r="BN92" s="73"/>
      <c r="BO92" s="57"/>
      <c r="BP92" s="74"/>
      <c r="BQ92" s="57"/>
      <c r="BR92" s="74"/>
      <c r="BS92" s="57"/>
      <c r="BT92" s="74"/>
      <c r="BU92" s="57"/>
      <c r="BV92" s="74"/>
      <c r="BW92" s="55"/>
      <c r="BX92" s="56"/>
      <c r="BY92" s="73"/>
      <c r="BZ92" s="57"/>
      <c r="CA92" s="74"/>
      <c r="CB92" s="57"/>
      <c r="CC92" s="74"/>
      <c r="CD92" s="57"/>
      <c r="CE92" s="74"/>
      <c r="CF92" s="57"/>
      <c r="CG92" s="74"/>
      <c r="CH92" s="55"/>
      <c r="CI92" s="56"/>
      <c r="CJ92" s="73"/>
      <c r="CK92" s="57"/>
      <c r="CL92" s="74"/>
      <c r="CM92" s="57"/>
      <c r="CN92" s="74"/>
      <c r="CO92" s="57"/>
      <c r="CP92" s="74"/>
      <c r="CQ92" s="57"/>
      <c r="CR92" s="74"/>
      <c r="CS92" s="41"/>
      <c r="CT92" s="41"/>
      <c r="CU92" s="41"/>
      <c r="CV92" s="16"/>
    </row>
    <row r="93" spans="2:100" x14ac:dyDescent="0.25">
      <c r="B93" s="172"/>
      <c r="C93" s="54"/>
      <c r="D93" s="71"/>
      <c r="E93" s="72"/>
      <c r="F93" s="119" t="s">
        <v>199</v>
      </c>
      <c r="G93" s="55"/>
      <c r="H93" s="160"/>
      <c r="I93" s="55"/>
      <c r="J93" s="173"/>
      <c r="K93" s="174" t="s">
        <v>229</v>
      </c>
      <c r="L93" s="120"/>
      <c r="M93" s="121"/>
      <c r="N93" s="57"/>
      <c r="P93" s="57"/>
      <c r="Q93" s="74"/>
      <c r="R93" s="57"/>
      <c r="S93" s="74"/>
      <c r="T93" s="55"/>
      <c r="U93" s="56"/>
      <c r="V93" s="73"/>
      <c r="W93" s="57"/>
      <c r="X93" s="74"/>
      <c r="Y93" s="57"/>
      <c r="Z93" s="74"/>
      <c r="AA93" s="57"/>
      <c r="AB93" s="74"/>
      <c r="AC93" s="57"/>
      <c r="AD93" s="74"/>
      <c r="AE93" s="55"/>
      <c r="AF93" s="56"/>
      <c r="AG93" s="73"/>
      <c r="AH93" s="57"/>
      <c r="AI93" s="74"/>
      <c r="AJ93" s="57"/>
      <c r="AK93" s="74"/>
      <c r="AL93" s="57"/>
      <c r="AM93" s="74"/>
      <c r="AN93" s="57"/>
      <c r="AO93" s="74"/>
      <c r="AP93" s="55"/>
      <c r="AQ93" s="56"/>
      <c r="AR93" s="73"/>
      <c r="AS93" s="57"/>
      <c r="AT93" s="74"/>
      <c r="AU93" s="57"/>
      <c r="AV93" s="74"/>
      <c r="AW93" s="57"/>
      <c r="AX93" s="74"/>
      <c r="AY93" s="57"/>
      <c r="AZ93" s="74"/>
      <c r="BA93" s="55"/>
      <c r="BB93" s="56"/>
      <c r="BC93" s="73"/>
      <c r="BD93" s="57"/>
      <c r="BE93" s="74"/>
      <c r="BF93" s="57"/>
      <c r="BG93" s="74"/>
      <c r="BH93" s="57"/>
      <c r="BI93" s="74"/>
      <c r="BJ93" s="57"/>
      <c r="BK93" s="74"/>
      <c r="BL93" s="55"/>
      <c r="BM93" s="56"/>
      <c r="BN93" s="73"/>
      <c r="BO93" s="57"/>
      <c r="BP93" s="74"/>
      <c r="BQ93" s="57"/>
      <c r="BR93" s="74"/>
      <c r="BS93" s="57"/>
      <c r="BT93" s="74"/>
      <c r="BU93" s="57"/>
      <c r="BV93" s="74"/>
      <c r="BW93" s="55"/>
      <c r="BX93" s="56"/>
      <c r="BY93" s="73"/>
      <c r="BZ93" s="57"/>
      <c r="CA93" s="74"/>
      <c r="CB93" s="57"/>
      <c r="CC93" s="74"/>
      <c r="CD93" s="57"/>
      <c r="CE93" s="74"/>
      <c r="CF93" s="57"/>
      <c r="CG93" s="74"/>
      <c r="CH93" s="55"/>
      <c r="CI93" s="56"/>
      <c r="CJ93" s="73"/>
      <c r="CK93" s="57"/>
      <c r="CL93" s="74"/>
      <c r="CM93" s="57"/>
      <c r="CN93" s="74"/>
      <c r="CO93" s="57"/>
      <c r="CP93" s="74"/>
      <c r="CQ93" s="57"/>
      <c r="CR93" s="74"/>
      <c r="CS93" s="41" t="str">
        <f t="shared" si="573"/>
        <v xml:space="preserve">Unit </v>
      </c>
      <c r="CT93" s="41" t="e">
        <f t="shared" si="574"/>
        <v>#VALUE!</v>
      </c>
      <c r="CU93" s="41" t="e">
        <f>M93+O93+Q93+S93+#REF!+X93+Z93+AB93+AD93+#REF!+AI93+AK93+AM93+AO93+#REF!+AT93+AV93+AX93+AZ93+#REF!+BE93+BG93+BI93+BK93+#REF!+BP93+BR93+BT93+BV93+#REF!+CA93+CC93+CE93+CG93+#REF!+CL93+CN93+CP93+CR93+#REF!</f>
        <v>#REF!</v>
      </c>
      <c r="CV93" s="16" t="e">
        <f t="shared" si="620"/>
        <v>#VALUE!</v>
      </c>
    </row>
    <row r="94" spans="2:100" x14ac:dyDescent="0.25">
      <c r="B94" s="175"/>
      <c r="C94" s="123"/>
      <c r="D94" s="71"/>
      <c r="E94" s="176"/>
      <c r="F94" s="155" t="s">
        <v>200</v>
      </c>
      <c r="G94" s="55"/>
      <c r="H94" s="160"/>
      <c r="I94" s="55"/>
      <c r="J94" s="173"/>
      <c r="K94" s="174" t="s">
        <v>200</v>
      </c>
      <c r="L94" s="122"/>
      <c r="M94" s="54"/>
      <c r="N94" s="123"/>
      <c r="P94" s="124"/>
      <c r="Q94" s="124"/>
      <c r="CS94" s="41" t="str">
        <f t="shared" si="573"/>
        <v>Price</v>
      </c>
      <c r="CT94" s="41" t="e">
        <f t="shared" si="574"/>
        <v>#VALUE!</v>
      </c>
      <c r="CU94" s="41" t="e">
        <f>M94+O94+Q94+S94+#REF!+X94+Z94+AB94+AD94+#REF!+AI94+AK94+AM94+AO94+#REF!+AT94+AV94+AX94+AZ94+#REF!+BE94+BG94+BI94+BK94+#REF!+BP94+BR94+BT94+BV94+#REF!+CA94+CC94+CE94+CG94+#REF!+CL94+CN94+CP94+CR94+#REF!</f>
        <v>#REF!</v>
      </c>
      <c r="CV94" s="16" t="e">
        <f t="shared" si="620"/>
        <v>#VALUE!</v>
      </c>
    </row>
    <row r="95" spans="2:100" x14ac:dyDescent="0.25">
      <c r="B95" s="177" t="s">
        <v>255</v>
      </c>
      <c r="C95" s="123"/>
      <c r="D95" s="71"/>
      <c r="E95" s="176"/>
      <c r="F95" s="178">
        <v>147.0723668</v>
      </c>
      <c r="G95" s="55"/>
      <c r="H95" s="160"/>
      <c r="I95" s="55"/>
      <c r="J95" s="173"/>
      <c r="K95" s="179">
        <v>-108.3695731319762</v>
      </c>
      <c r="L95" s="72"/>
      <c r="N95" s="124"/>
      <c r="P95" s="124"/>
      <c r="Q95" s="124"/>
      <c r="CS95" s="41">
        <f t="shared" si="573"/>
        <v>147.0723668</v>
      </c>
      <c r="CT95" s="41">
        <f t="shared" si="574"/>
        <v>-108.3695731319762</v>
      </c>
      <c r="CU95" s="41" t="e">
        <f>M95+O95+Q95+S95+#REF!+X95+Z95+AB95+AD95+#REF!+AI95+AK95+AM95+AO95+#REF!+AT95+AV95+AX95+AZ95+#REF!+BE95+BG95+BI95+BK95+#REF!+BP95+BR95+BT95+BV95+#REF!+CA95+CC95+CE95+CG95+#REF!+CL95+CN95+CP95+CR95+#REF!</f>
        <v>#REF!</v>
      </c>
      <c r="CV95" s="16" t="e">
        <f t="shared" si="620"/>
        <v>#REF!</v>
      </c>
    </row>
    <row r="96" spans="2:100" x14ac:dyDescent="0.25">
      <c r="B96" s="177" t="s">
        <v>256</v>
      </c>
      <c r="C96" s="123"/>
      <c r="D96" s="71"/>
      <c r="E96" s="176"/>
      <c r="F96" s="178">
        <v>0.68398715399999999</v>
      </c>
      <c r="G96" s="55"/>
      <c r="H96" s="160"/>
      <c r="I96" s="55"/>
      <c r="J96" s="173"/>
      <c r="K96" s="179">
        <v>-0.38793301271641789</v>
      </c>
      <c r="L96" s="125"/>
      <c r="N96" s="124"/>
      <c r="P96" s="124"/>
      <c r="Q96" s="124"/>
      <c r="CS96" s="41">
        <f t="shared" si="573"/>
        <v>0.68398715399999999</v>
      </c>
      <c r="CT96" s="41">
        <f t="shared" si="574"/>
        <v>-0.38793301271641789</v>
      </c>
      <c r="CU96" s="41" t="e">
        <f>M96+O96+Q96+S96+#REF!+X96+Z96+AB96+AD96+#REF!+AI96+AK96+AM96+AO96+#REF!+AT96+AV96+AX96+AZ96+#REF!+BE96+BG96+BI96+BK96+#REF!+BP96+BR96+BT96+BV96+#REF!+CA96+CC96+CE96+CG96+#REF!+CL96+CN96+CP96+CR96+#REF!</f>
        <v>#REF!</v>
      </c>
      <c r="CV96" s="16" t="e">
        <f t="shared" si="620"/>
        <v>#REF!</v>
      </c>
    </row>
    <row r="97" spans="2:100" x14ac:dyDescent="0.25">
      <c r="B97" s="177" t="s">
        <v>257</v>
      </c>
      <c r="C97" s="123"/>
      <c r="D97" s="71"/>
      <c r="E97" s="176"/>
      <c r="F97" s="178">
        <v>1.9442985659999998</v>
      </c>
      <c r="G97" s="55"/>
      <c r="H97" s="160"/>
      <c r="I97" s="55"/>
      <c r="J97" s="173"/>
      <c r="K97" s="179">
        <v>-0.31414430979039298</v>
      </c>
      <c r="L97" s="125"/>
      <c r="N97" s="124"/>
      <c r="P97" s="124"/>
      <c r="Q97" s="124"/>
      <c r="X97" s="126"/>
      <c r="Y97" s="127"/>
      <c r="Z97" s="64"/>
      <c r="CS97" s="41">
        <f t="shared" si="573"/>
        <v>1.9442985659999998</v>
      </c>
      <c r="CT97" s="41">
        <f t="shared" si="574"/>
        <v>-0.31414430979039298</v>
      </c>
      <c r="CU97" s="41" t="e">
        <f>M97+O97+Q97+S97+#REF!+X97+Z97+AB97+AD97+#REF!+AI97+AK97+AM97+AO97+#REF!+AT97+AV97+AX97+AZ97+#REF!+BE97+BG97+BI97+BK97+#REF!+BP97+BR97+BT97+BV97+#REF!+CA97+CC97+CE97+CG97+#REF!+CL97+CN97+CP97+CR97+#REF!</f>
        <v>#REF!</v>
      </c>
      <c r="CV97" s="16" t="e">
        <f t="shared" si="620"/>
        <v>#REF!</v>
      </c>
    </row>
    <row r="98" spans="2:100" x14ac:dyDescent="0.25">
      <c r="B98" s="180" t="s">
        <v>258</v>
      </c>
      <c r="C98" s="123"/>
      <c r="D98" s="71"/>
      <c r="E98" s="176"/>
      <c r="F98" s="178">
        <v>0.37674735999999998</v>
      </c>
      <c r="G98" s="55"/>
      <c r="H98" s="160"/>
      <c r="I98" s="55"/>
      <c r="J98" s="173"/>
      <c r="K98" s="179">
        <v>-0.13699903999999999</v>
      </c>
      <c r="L98" s="125"/>
      <c r="N98" s="124"/>
      <c r="P98" s="124"/>
      <c r="Q98" s="124"/>
      <c r="X98" s="126"/>
      <c r="Y98" s="127"/>
      <c r="CS98" s="41">
        <f t="shared" si="573"/>
        <v>0.37674735999999998</v>
      </c>
      <c r="CT98" s="41">
        <f t="shared" si="574"/>
        <v>-0.13699903999999999</v>
      </c>
      <c r="CU98" s="41" t="e">
        <f>M98+O98+Q98+S98+#REF!+X98+Z98+AB98+AD98+#REF!+AI98+AK98+AM98+AO98+#REF!+AT98+AV98+AX98+AZ98+#REF!+BE98+BG98+BI98+BK98+#REF!+BP98+BR98+BT98+BV98+#REF!+CA98+CC98+CE98+CG98+#REF!+CL98+CN98+CP98+CR98+#REF!</f>
        <v>#REF!</v>
      </c>
      <c r="CV98" s="16" t="e">
        <f t="shared" si="620"/>
        <v>#REF!</v>
      </c>
    </row>
    <row r="99" spans="2:100" x14ac:dyDescent="0.25">
      <c r="B99" s="180" t="s">
        <v>259</v>
      </c>
      <c r="C99" s="123"/>
      <c r="D99" s="71"/>
      <c r="E99" s="176"/>
      <c r="F99" s="178">
        <v>0.37674735999999998</v>
      </c>
      <c r="G99" s="55"/>
      <c r="H99" s="160"/>
      <c r="I99" s="55"/>
      <c r="J99" s="173"/>
      <c r="K99" s="179">
        <v>-0.17124880000000001</v>
      </c>
      <c r="L99" s="125"/>
      <c r="N99" s="124"/>
      <c r="P99" s="124"/>
      <c r="Q99" s="124"/>
      <c r="X99" s="126"/>
      <c r="Y99" s="127"/>
      <c r="CS99" s="41">
        <f t="shared" si="573"/>
        <v>0.37674735999999998</v>
      </c>
      <c r="CT99" s="41">
        <f t="shared" si="574"/>
        <v>-0.17124880000000001</v>
      </c>
      <c r="CU99" s="41" t="e">
        <f>M99+O99+Q99+S99+#REF!+X99+Z99+AB99+AD99+#REF!+AI99+AK99+AM99+AO99+#REF!+AT99+AV99+AX99+AZ99+#REF!+BE99+BG99+BI99+BK99+#REF!+BP99+BR99+BT99+BV99+#REF!+CA99+CC99+CE99+CG99+#REF!+CL99+CN99+CP99+CR99+#REF!</f>
        <v>#REF!</v>
      </c>
      <c r="CV99" s="16" t="e">
        <f t="shared" si="620"/>
        <v>#REF!</v>
      </c>
    </row>
    <row r="100" spans="2:100" x14ac:dyDescent="0.25">
      <c r="B100" s="181" t="s">
        <v>253</v>
      </c>
      <c r="C100" s="123"/>
      <c r="D100" s="71"/>
      <c r="E100" s="176"/>
      <c r="F100" s="178"/>
      <c r="G100" s="55"/>
      <c r="H100" s="160"/>
      <c r="I100" s="55"/>
      <c r="J100" s="173"/>
      <c r="K100" s="174"/>
      <c r="L100" s="72"/>
      <c r="N100" s="124"/>
      <c r="P100" s="124"/>
      <c r="Q100" s="124"/>
      <c r="X100" s="126"/>
      <c r="Y100" s="127"/>
      <c r="CS100" s="41">
        <f t="shared" si="573"/>
        <v>0</v>
      </c>
      <c r="CT100" s="41">
        <f t="shared" si="574"/>
        <v>0</v>
      </c>
      <c r="CU100" s="41" t="e">
        <f>M100+O100+Q100+S100+#REF!+X100+Z100+AB100+AD100+#REF!+AI100+AK100+AM100+AO100+#REF!+AT100+AV100+AX100+AZ100+#REF!+BE100+BG100+BI100+BK100+#REF!+BP100+BR100+BT100+BV100+#REF!+CA100+CC100+CE100+CG100+#REF!+CL100+CN100+CP100+CR100+#REF!</f>
        <v>#REF!</v>
      </c>
      <c r="CV100" s="16" t="e">
        <f t="shared" si="620"/>
        <v>#REF!</v>
      </c>
    </row>
    <row r="101" spans="2:100" x14ac:dyDescent="0.25">
      <c r="B101" s="180" t="s">
        <v>260</v>
      </c>
      <c r="C101" s="123"/>
      <c r="D101" s="71"/>
      <c r="E101" s="176"/>
      <c r="F101" s="178">
        <v>0.24658749999999999</v>
      </c>
      <c r="G101" s="55"/>
      <c r="H101" s="160"/>
      <c r="I101" s="55"/>
      <c r="J101" s="173"/>
      <c r="K101" s="179">
        <v>-0.16439166666666666</v>
      </c>
      <c r="L101" s="125"/>
      <c r="N101" s="124"/>
      <c r="P101" s="124"/>
      <c r="Q101" s="124"/>
      <c r="X101" s="126"/>
      <c r="CS101" s="41">
        <f t="shared" si="573"/>
        <v>0.24658749999999999</v>
      </c>
      <c r="CT101" s="41">
        <f t="shared" si="574"/>
        <v>-0.16439166666666666</v>
      </c>
      <c r="CU101" s="41" t="e">
        <f>M101+O101+Q101+S101+#REF!+X101+Z101+AB101+AD101+#REF!+AI101+AK101+AM101+AO101+#REF!+AT101+AV101+AX101+AZ101+#REF!+BE101+BG101+BI101+BK101+#REF!+BP101+BR101+BT101+BV101+#REF!+CA101+CC101+CE101+CG101+#REF!+CL101+CN101+CP101+CR101+#REF!</f>
        <v>#REF!</v>
      </c>
      <c r="CV101" s="16" t="e">
        <f t="shared" si="620"/>
        <v>#REF!</v>
      </c>
    </row>
    <row r="102" spans="2:100" x14ac:dyDescent="0.25">
      <c r="B102" s="180" t="s">
        <v>261</v>
      </c>
      <c r="C102" s="123"/>
      <c r="D102" s="71"/>
      <c r="E102" s="176"/>
      <c r="F102" s="178">
        <v>1.3714462999999999</v>
      </c>
      <c r="G102" s="55"/>
      <c r="H102" s="160"/>
      <c r="I102" s="55"/>
      <c r="J102" s="173"/>
      <c r="K102" s="179">
        <v>-1.4481109999999999</v>
      </c>
      <c r="L102" s="125"/>
      <c r="N102" s="124"/>
      <c r="P102" s="124"/>
      <c r="Q102" s="124"/>
      <c r="CS102" s="41">
        <f t="shared" si="573"/>
        <v>1.3714462999999999</v>
      </c>
      <c r="CT102" s="41">
        <f t="shared" si="574"/>
        <v>-1.4481109999999999</v>
      </c>
      <c r="CU102" s="41" t="e">
        <f>M102+O102+Q102+S102+#REF!+X102+Z102+AB102+AD102+#REF!+AI102+AK102+AM102+AO102+#REF!+AT102+AV102+AX102+AZ102+#REF!+BE102+BG102+BI102+BK102+#REF!+BP102+BR102+BT102+BV102+#REF!+CA102+CC102+CE102+CG102+#REF!+CL102+CN102+CP102+CR102+#REF!</f>
        <v>#REF!</v>
      </c>
      <c r="CV102" s="16" t="e">
        <f t="shared" si="620"/>
        <v>#REF!</v>
      </c>
    </row>
    <row r="103" spans="2:100" x14ac:dyDescent="0.25">
      <c r="B103" s="180" t="s">
        <v>262</v>
      </c>
      <c r="C103" s="123"/>
      <c r="D103" s="71"/>
      <c r="E103" s="176"/>
      <c r="F103" s="178">
        <v>1.99079425</v>
      </c>
      <c r="G103" s="55"/>
      <c r="H103" s="160"/>
      <c r="I103" s="55"/>
      <c r="J103" s="173"/>
      <c r="K103" s="179">
        <v>-1.5206066633165829</v>
      </c>
      <c r="L103" s="128"/>
      <c r="M103" s="63"/>
      <c r="N103" s="124"/>
      <c r="O103" s="63"/>
      <c r="P103" s="124"/>
      <c r="Q103" s="124"/>
      <c r="CS103" s="41">
        <f t="shared" si="573"/>
        <v>1.99079425</v>
      </c>
      <c r="CT103" s="41">
        <f t="shared" si="574"/>
        <v>-1.5206066633165829</v>
      </c>
      <c r="CU103" s="41" t="e">
        <f>M103+O103+Q103+S103+#REF!+X103+Z103+AB103+AD103+#REF!+AI103+AK103+AM103+AO103+#REF!+AT103+AV103+AX103+AZ103+#REF!+BE103+BG103+BI103+BK103+#REF!+BP103+BR103+BT103+BV103+#REF!+CA103+CC103+CE103+CG103+#REF!+CL103+CN103+CP103+CR103+#REF!</f>
        <v>#REF!</v>
      </c>
      <c r="CV103" s="16" t="e">
        <f t="shared" si="620"/>
        <v>#REF!</v>
      </c>
    </row>
    <row r="104" spans="2:100" x14ac:dyDescent="0.25">
      <c r="B104" s="180" t="s">
        <v>263</v>
      </c>
      <c r="C104" s="123"/>
      <c r="D104" s="71"/>
      <c r="E104" s="176"/>
      <c r="F104" s="178">
        <v>0.37674735999999998</v>
      </c>
      <c r="G104" s="55"/>
      <c r="H104" s="160"/>
      <c r="I104" s="55"/>
      <c r="J104" s="173"/>
      <c r="K104" s="179">
        <v>-0.20549855999999997</v>
      </c>
      <c r="L104" s="125"/>
      <c r="N104" s="124"/>
      <c r="P104" s="124"/>
      <c r="Q104" s="124"/>
      <c r="CS104" s="41"/>
      <c r="CT104" s="41"/>
      <c r="CU104" s="41"/>
      <c r="CV104" s="16"/>
    </row>
    <row r="105" spans="2:100" x14ac:dyDescent="0.25">
      <c r="B105" s="175"/>
      <c r="C105" s="123"/>
      <c r="D105" s="71"/>
      <c r="E105" s="176"/>
      <c r="F105" s="72"/>
      <c r="G105" s="173"/>
      <c r="H105" s="173"/>
      <c r="I105" s="173"/>
      <c r="J105" s="173"/>
      <c r="K105" s="182"/>
      <c r="L105" s="128"/>
      <c r="M105" s="124"/>
      <c r="N105" s="124"/>
      <c r="P105" s="124"/>
      <c r="Q105" s="124"/>
    </row>
    <row r="106" spans="2:100" ht="15.75" thickBot="1" x14ac:dyDescent="0.3">
      <c r="B106" s="183" t="s">
        <v>254</v>
      </c>
      <c r="C106" s="184"/>
      <c r="D106" s="185"/>
      <c r="E106" s="186"/>
      <c r="F106" s="185">
        <v>2.0400000000000001E-2</v>
      </c>
      <c r="G106" s="187"/>
      <c r="H106" s="188"/>
      <c r="I106" s="187"/>
      <c r="J106" s="189"/>
      <c r="K106" s="190">
        <v>1.0204</v>
      </c>
      <c r="L106" s="128"/>
      <c r="M106" s="124"/>
      <c r="N106" s="124"/>
      <c r="O106" s="129"/>
      <c r="P106" s="124"/>
      <c r="Q106" s="124"/>
    </row>
    <row r="107" spans="2:100" ht="15.75" thickTop="1" x14ac:dyDescent="0.25">
      <c r="B107" s="44"/>
      <c r="K107" s="123"/>
      <c r="L107" s="128"/>
      <c r="M107" s="124"/>
      <c r="N107" s="124"/>
      <c r="O107" s="129"/>
      <c r="P107" s="124"/>
      <c r="Q107" s="124"/>
    </row>
  </sheetData>
  <mergeCells count="42">
    <mergeCell ref="BM1:BT1"/>
    <mergeCell ref="BX1:CG1"/>
    <mergeCell ref="CI1:CR1"/>
    <mergeCell ref="C2:F2"/>
    <mergeCell ref="L2:M2"/>
    <mergeCell ref="N2:O2"/>
    <mergeCell ref="P2:Q2"/>
    <mergeCell ref="R2:S2"/>
    <mergeCell ref="W2:X2"/>
    <mergeCell ref="C1:F1"/>
    <mergeCell ref="J1:S1"/>
    <mergeCell ref="U1:AD1"/>
    <mergeCell ref="AF1:AO1"/>
    <mergeCell ref="AQ1:AZ1"/>
    <mergeCell ref="BB1:BK1"/>
    <mergeCell ref="AW2:AX2"/>
    <mergeCell ref="Y2:Z2"/>
    <mergeCell ref="AA2:AB2"/>
    <mergeCell ref="AC2:AD2"/>
    <mergeCell ref="AH2:AI2"/>
    <mergeCell ref="AJ2:AK2"/>
    <mergeCell ref="AL2:AM2"/>
    <mergeCell ref="AN2:AO2"/>
    <mergeCell ref="AS2:AT2"/>
    <mergeCell ref="AU2:AV2"/>
    <mergeCell ref="AY2:AZ2"/>
    <mergeCell ref="BD2:BE2"/>
    <mergeCell ref="BF2:BG2"/>
    <mergeCell ref="BH2:BI2"/>
    <mergeCell ref="BJ2:BK2"/>
    <mergeCell ref="BO2:BP2"/>
    <mergeCell ref="BQ2:BR2"/>
    <mergeCell ref="BS2:BT2"/>
    <mergeCell ref="BU2:BV2"/>
    <mergeCell ref="CM2:CN2"/>
    <mergeCell ref="CO2:CP2"/>
    <mergeCell ref="CQ2:CR2"/>
    <mergeCell ref="BZ2:CA2"/>
    <mergeCell ref="CB2:CC2"/>
    <mergeCell ref="CD2:CE2"/>
    <mergeCell ref="CF2:CG2"/>
    <mergeCell ref="CK2:CL2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19" max="60" man="1"/>
    <brk id="30" max="60" man="1"/>
    <brk id="41" max="60" man="1"/>
    <brk id="52" max="60" man="1"/>
    <brk id="63" max="60" man="1"/>
    <brk id="74" max="60" man="1"/>
    <brk id="85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9"/>
  <sheetViews>
    <sheetView tabSelected="1" zoomScaleNormal="100" workbookViewId="0">
      <pane ySplit="2" topLeftCell="A3" activePane="bottomLeft" state="frozen"/>
      <selection pane="bottomLeft" activeCell="M9" sqref="M9:M19"/>
    </sheetView>
  </sheetViews>
  <sheetFormatPr defaultRowHeight="15" x14ac:dyDescent="0.25"/>
  <cols>
    <col min="1" max="1" width="14.7109375" style="76" customWidth="1"/>
    <col min="2" max="2" width="14.7109375" style="97" customWidth="1"/>
    <col min="3" max="3" width="14.7109375" style="76" customWidth="1"/>
    <col min="4" max="4" width="7.140625" style="76" customWidth="1"/>
    <col min="5" max="5" width="12.85546875" style="76" customWidth="1"/>
    <col min="6" max="6" width="11.5703125" style="76" customWidth="1"/>
    <col min="7" max="7" width="6.42578125" style="76" customWidth="1"/>
    <col min="8" max="8" width="17.85546875" style="76" customWidth="1"/>
    <col min="9" max="9" width="19" style="76" bestFit="1" customWidth="1"/>
    <col min="10" max="10" width="55" style="76" customWidth="1"/>
    <col min="11" max="11" width="24.42578125" style="76" customWidth="1"/>
    <col min="12" max="12" width="18" style="76" customWidth="1"/>
    <col min="13" max="13" width="24.140625" style="76" customWidth="1"/>
    <col min="14" max="15" width="14" style="76" customWidth="1"/>
    <col min="16" max="19" width="14" style="112" customWidth="1"/>
    <col min="20" max="20" width="16" style="112" customWidth="1"/>
    <col min="21" max="21" width="9.140625" style="76"/>
    <col min="22" max="22" width="9.140625" style="136"/>
    <col min="23" max="16384" width="9.140625" style="76"/>
  </cols>
  <sheetData>
    <row r="1" spans="1:29" x14ac:dyDescent="0.25">
      <c r="H1" s="78">
        <f>SUBTOTAL(9,$I$3:$I$129)</f>
        <v>10299537.288343718</v>
      </c>
      <c r="I1" s="79">
        <f>SUMIFS($I$3:$I$129,$T$3:$T$129,"BDG")</f>
        <v>6063370.5697114943</v>
      </c>
      <c r="J1" s="79"/>
      <c r="K1" s="79">
        <f>SUMIFS($I$3:$I$129,$U$3:$U$129,"MARKUP",$S$3:$S$129,"REMOVAL")</f>
        <v>12274724.530422518</v>
      </c>
      <c r="O1" s="80">
        <f>P1-I1</f>
        <v>0</v>
      </c>
      <c r="P1" s="133">
        <f>'Smith Data'!F85</f>
        <v>6063370.5697114961</v>
      </c>
      <c r="Q1" s="133"/>
      <c r="R1" s="133"/>
      <c r="S1" s="133"/>
      <c r="T1" s="133"/>
    </row>
    <row r="2" spans="1:29" x14ac:dyDescent="0.25">
      <c r="A2" s="81" t="s">
        <v>52</v>
      </c>
      <c r="B2" s="82" t="s">
        <v>180</v>
      </c>
      <c r="C2" s="82" t="s">
        <v>181</v>
      </c>
      <c r="D2" s="81" t="s">
        <v>53</v>
      </c>
      <c r="E2" s="81" t="s">
        <v>54</v>
      </c>
      <c r="F2" s="81" t="s">
        <v>55</v>
      </c>
      <c r="G2" s="81" t="s">
        <v>56</v>
      </c>
      <c r="H2" s="81" t="s">
        <v>57</v>
      </c>
      <c r="I2" s="81" t="s">
        <v>58</v>
      </c>
      <c r="J2" s="81" t="s">
        <v>59</v>
      </c>
      <c r="K2" s="81" t="s">
        <v>60</v>
      </c>
      <c r="L2" s="81" t="s">
        <v>61</v>
      </c>
      <c r="M2" s="81" t="s">
        <v>266</v>
      </c>
      <c r="N2" s="81" t="s">
        <v>264</v>
      </c>
      <c r="O2" s="81" t="s">
        <v>265</v>
      </c>
      <c r="P2" s="83" t="s">
        <v>62</v>
      </c>
      <c r="Q2" s="83" t="s">
        <v>186</v>
      </c>
      <c r="R2" s="83" t="s">
        <v>184</v>
      </c>
      <c r="S2" s="95" t="s">
        <v>161</v>
      </c>
      <c r="T2" s="112">
        <v>1</v>
      </c>
      <c r="U2" s="84">
        <v>2</v>
      </c>
      <c r="W2" s="84">
        <v>3</v>
      </c>
      <c r="X2" s="85">
        <v>4</v>
      </c>
      <c r="Y2" s="85">
        <v>5</v>
      </c>
      <c r="Z2" s="85">
        <v>6</v>
      </c>
      <c r="AA2" s="85">
        <v>7</v>
      </c>
      <c r="AB2" s="85">
        <v>8</v>
      </c>
      <c r="AC2" s="85">
        <v>9</v>
      </c>
    </row>
    <row r="3" spans="1:29" x14ac:dyDescent="0.25">
      <c r="A3" s="86" t="s">
        <v>101</v>
      </c>
      <c r="B3" s="87" t="s">
        <v>168</v>
      </c>
      <c r="C3" s="87" t="s">
        <v>73</v>
      </c>
      <c r="D3" s="86" t="s">
        <v>74</v>
      </c>
      <c r="E3" s="86" t="s">
        <v>226</v>
      </c>
      <c r="F3" s="88">
        <v>1</v>
      </c>
      <c r="G3" s="86" t="s">
        <v>14</v>
      </c>
      <c r="H3" s="107">
        <f>SUMIFS($I$3:$I$129,$E$3:$E$129,$E3,$U$3:$U$129,"MARKUP",$S$3:$S$129,"REMOVAL")*0.01</f>
        <v>21065.420000000002</v>
      </c>
      <c r="I3" s="194">
        <f>F3*H3</f>
        <v>21065.420000000002</v>
      </c>
      <c r="J3" s="108" t="s">
        <v>102</v>
      </c>
      <c r="K3" s="86" t="s">
        <v>64</v>
      </c>
      <c r="L3" s="86" t="s">
        <v>64</v>
      </c>
      <c r="M3" s="86" t="s">
        <v>102</v>
      </c>
      <c r="N3" s="192">
        <f t="shared" ref="N3:N34" si="0">H3</f>
        <v>21065.420000000002</v>
      </c>
      <c r="O3" s="193">
        <f t="shared" ref="O3:O34" si="1">I3</f>
        <v>21065.420000000002</v>
      </c>
      <c r="P3" s="134" t="s">
        <v>76</v>
      </c>
      <c r="Q3" s="134">
        <v>1</v>
      </c>
      <c r="R3" s="134" t="s">
        <v>185</v>
      </c>
      <c r="S3" s="96" t="s">
        <v>162</v>
      </c>
      <c r="T3" s="84" t="s">
        <v>67</v>
      </c>
      <c r="U3" s="84"/>
      <c r="W3" s="84" t="str">
        <f t="shared" ref="W3:W34" si="2">A3&amp;C3&amp;D3&amp;E3&amp;F3&amp;G3&amp;H3&amp;J3</f>
        <v>3090481CCLRSMITH-ASB1%21065.42ADMINISTRATIVE &amp; GENERAL OVERHEAD</v>
      </c>
      <c r="X3" s="84"/>
    </row>
    <row r="4" spans="1:29" x14ac:dyDescent="0.25">
      <c r="A4" s="86" t="s">
        <v>101</v>
      </c>
      <c r="B4" s="87" t="s">
        <v>168</v>
      </c>
      <c r="C4" s="87" t="s">
        <v>73</v>
      </c>
      <c r="D4" s="86" t="s">
        <v>74</v>
      </c>
      <c r="E4" s="86" t="s">
        <v>217</v>
      </c>
      <c r="F4" s="88">
        <v>1</v>
      </c>
      <c r="G4" s="86" t="s">
        <v>14</v>
      </c>
      <c r="H4" s="107">
        <f>SUMIFS($I$3:$I$129,$E$3:$E$129,$E4,$U$3:$U$129,"MARKUP",$S$3:$S$129,"REMOVAL")*0.01</f>
        <v>3600</v>
      </c>
      <c r="I4" s="90">
        <f>F4*H4</f>
        <v>3600</v>
      </c>
      <c r="J4" s="108" t="s">
        <v>102</v>
      </c>
      <c r="K4" s="86" t="s">
        <v>64</v>
      </c>
      <c r="L4" s="86" t="s">
        <v>64</v>
      </c>
      <c r="M4" s="86" t="s">
        <v>102</v>
      </c>
      <c r="N4" s="192">
        <f t="shared" si="0"/>
        <v>3600</v>
      </c>
      <c r="O4" s="193">
        <f t="shared" si="1"/>
        <v>3600</v>
      </c>
      <c r="P4" s="134" t="s">
        <v>66</v>
      </c>
      <c r="Q4" s="134">
        <v>1</v>
      </c>
      <c r="R4" s="134" t="s">
        <v>185</v>
      </c>
      <c r="S4" s="96" t="s">
        <v>162</v>
      </c>
      <c r="T4" s="112" t="s">
        <v>67</v>
      </c>
      <c r="U4" s="84"/>
      <c r="V4" s="84"/>
      <c r="W4" s="84" t="str">
        <f t="shared" si="2"/>
        <v>3090481CCLRSMITH-ECO1%3600ADMINISTRATIVE &amp; GENERAL OVERHEAD</v>
      </c>
      <c r="X4" s="84"/>
    </row>
    <row r="5" spans="1:29" x14ac:dyDescent="0.25">
      <c r="A5" s="86" t="s">
        <v>101</v>
      </c>
      <c r="B5" s="87" t="s">
        <v>168</v>
      </c>
      <c r="C5" s="87" t="s">
        <v>73</v>
      </c>
      <c r="D5" s="86" t="s">
        <v>74</v>
      </c>
      <c r="E5" s="86" t="s">
        <v>218</v>
      </c>
      <c r="F5" s="88">
        <v>1</v>
      </c>
      <c r="G5" s="86" t="s">
        <v>14</v>
      </c>
      <c r="H5" s="107">
        <f>SUMIFS($I$3:$I$129,$E$3:$E$129,$E5,$U$3:$U$129,"MARKUP",$S$3:$S$129,"REMOVAL")*0.01</f>
        <v>98081.825304225189</v>
      </c>
      <c r="I5" s="90">
        <f>F5*H5</f>
        <v>98081.825304225189</v>
      </c>
      <c r="J5" s="108" t="s">
        <v>102</v>
      </c>
      <c r="K5" s="86" t="s">
        <v>64</v>
      </c>
      <c r="L5" s="86" t="s">
        <v>64</v>
      </c>
      <c r="M5" s="86" t="s">
        <v>102</v>
      </c>
      <c r="N5" s="192">
        <f t="shared" si="0"/>
        <v>98081.825304225189</v>
      </c>
      <c r="O5" s="193">
        <f t="shared" si="1"/>
        <v>98081.825304225189</v>
      </c>
      <c r="P5" s="134" t="s">
        <v>75</v>
      </c>
      <c r="Q5" s="134">
        <v>1</v>
      </c>
      <c r="R5" s="134" t="s">
        <v>185</v>
      </c>
      <c r="S5" s="96" t="s">
        <v>162</v>
      </c>
      <c r="T5" s="112" t="s">
        <v>67</v>
      </c>
      <c r="U5" s="84"/>
      <c r="V5" s="84"/>
      <c r="W5" s="84" t="str">
        <f t="shared" si="2"/>
        <v>3090481CCLRSMITH-NON1%98081.8253042252ADMINISTRATIVE &amp; GENERAL OVERHEAD</v>
      </c>
      <c r="X5" s="84"/>
    </row>
    <row r="6" spans="1:29" x14ac:dyDescent="0.25">
      <c r="A6" s="86" t="s">
        <v>113</v>
      </c>
      <c r="B6" s="87" t="s">
        <v>169</v>
      </c>
      <c r="C6" s="87" t="s">
        <v>73</v>
      </c>
      <c r="D6" s="86" t="s">
        <v>74</v>
      </c>
      <c r="E6" s="86" t="s">
        <v>218</v>
      </c>
      <c r="F6" s="91">
        <f>'Smith Data'!$D$75</f>
        <v>125</v>
      </c>
      <c r="G6" s="86" t="s">
        <v>33</v>
      </c>
      <c r="H6" s="90">
        <f>'Smith Data'!$E$75</f>
        <v>244.89599999999999</v>
      </c>
      <c r="I6" s="195">
        <f>'Smith Data'!$F$75</f>
        <v>30000</v>
      </c>
      <c r="J6" s="86" t="s">
        <v>114</v>
      </c>
      <c r="K6" s="86" t="s">
        <v>64</v>
      </c>
      <c r="L6" s="86" t="s">
        <v>64</v>
      </c>
      <c r="M6" s="86" t="s">
        <v>115</v>
      </c>
      <c r="N6" s="192">
        <f t="shared" si="0"/>
        <v>244.89599999999999</v>
      </c>
      <c r="O6" s="193">
        <f t="shared" si="1"/>
        <v>30000</v>
      </c>
      <c r="P6" s="134" t="s">
        <v>75</v>
      </c>
      <c r="Q6" s="134">
        <v>1</v>
      </c>
      <c r="R6" s="134" t="s">
        <v>185</v>
      </c>
      <c r="S6" s="96" t="s">
        <v>162</v>
      </c>
      <c r="T6" s="112" t="s">
        <v>86</v>
      </c>
      <c r="U6" s="84" t="s">
        <v>104</v>
      </c>
      <c r="V6" s="136">
        <v>54</v>
      </c>
      <c r="W6" s="84" t="str">
        <f t="shared" si="2"/>
        <v>311UNDCCLRSMITH-NON125nt244.896ANCILLARY BUILDINGS - Demo</v>
      </c>
      <c r="X6" s="84"/>
    </row>
    <row r="7" spans="1:29" s="77" customFormat="1" x14ac:dyDescent="0.25">
      <c r="A7" s="86" t="s">
        <v>113</v>
      </c>
      <c r="B7" s="87" t="s">
        <v>169</v>
      </c>
      <c r="C7" s="87" t="s">
        <v>73</v>
      </c>
      <c r="D7" s="86" t="s">
        <v>116</v>
      </c>
      <c r="E7" s="86" t="s">
        <v>218</v>
      </c>
      <c r="F7" s="91">
        <f>'Smith Data'!$D$76</f>
        <v>125</v>
      </c>
      <c r="G7" s="86" t="s">
        <v>33</v>
      </c>
      <c r="H7" s="104">
        <f>'Smith Data'!$E$76</f>
        <v>-108.3695731319762</v>
      </c>
      <c r="I7" s="195">
        <f>'Smith Data'!$F$76</f>
        <v>-22565.78947368421</v>
      </c>
      <c r="J7" s="86" t="s">
        <v>117</v>
      </c>
      <c r="K7" s="86" t="s">
        <v>118</v>
      </c>
      <c r="L7" s="86" t="s">
        <v>64</v>
      </c>
      <c r="M7" s="86" t="s">
        <v>267</v>
      </c>
      <c r="N7" s="192">
        <f t="shared" si="0"/>
        <v>-108.3695731319762</v>
      </c>
      <c r="O7" s="193">
        <f t="shared" si="1"/>
        <v>-22565.78947368421</v>
      </c>
      <c r="P7" s="134" t="s">
        <v>75</v>
      </c>
      <c r="Q7" s="134">
        <v>1</v>
      </c>
      <c r="R7" s="134" t="s">
        <v>185</v>
      </c>
      <c r="S7" s="96" t="s">
        <v>166</v>
      </c>
      <c r="T7" s="112" t="s">
        <v>86</v>
      </c>
      <c r="U7" s="84" t="s">
        <v>104</v>
      </c>
      <c r="V7" s="136">
        <v>55</v>
      </c>
      <c r="W7" s="84" t="str">
        <f t="shared" si="2"/>
        <v>311UNDCCMSSMITH-NON125nt-108.369573131976ANCILLARY BUILDINGS - FE SALES</v>
      </c>
      <c r="X7" s="84"/>
    </row>
    <row r="8" spans="1:29" x14ac:dyDescent="0.25">
      <c r="A8" s="111">
        <v>3080261</v>
      </c>
      <c r="B8" s="87" t="s">
        <v>170</v>
      </c>
      <c r="C8" s="87" t="s">
        <v>73</v>
      </c>
      <c r="D8" s="86" t="s">
        <v>74</v>
      </c>
      <c r="E8" s="86" t="s">
        <v>218</v>
      </c>
      <c r="F8" s="88">
        <v>2000</v>
      </c>
      <c r="G8" s="86" t="s">
        <v>91</v>
      </c>
      <c r="H8" s="90">
        <v>101.26</v>
      </c>
      <c r="I8" s="90">
        <v>202516</v>
      </c>
      <c r="J8" s="110" t="s">
        <v>94</v>
      </c>
      <c r="K8" s="86" t="s">
        <v>64</v>
      </c>
      <c r="L8" s="86" t="s">
        <v>64</v>
      </c>
      <c r="M8" s="86" t="s">
        <v>92</v>
      </c>
      <c r="N8" s="192">
        <f t="shared" si="0"/>
        <v>101.26</v>
      </c>
      <c r="O8" s="193">
        <f t="shared" si="1"/>
        <v>202516</v>
      </c>
      <c r="P8" s="134" t="s">
        <v>75</v>
      </c>
      <c r="Q8" s="134">
        <v>1</v>
      </c>
      <c r="R8" s="134" t="s">
        <v>185</v>
      </c>
      <c r="S8" s="96" t="s">
        <v>162</v>
      </c>
      <c r="T8" s="112" t="s">
        <v>67</v>
      </c>
      <c r="U8" s="84"/>
      <c r="V8" s="84"/>
      <c r="W8" s="84" t="str">
        <f t="shared" si="2"/>
        <v>3080261CCLRSMITH-NON2000MH101.26APC ENGINEERING</v>
      </c>
      <c r="X8" s="84"/>
    </row>
    <row r="9" spans="1:29" x14ac:dyDescent="0.25">
      <c r="A9" s="86" t="s">
        <v>63</v>
      </c>
      <c r="B9" s="87" t="s">
        <v>171</v>
      </c>
      <c r="C9" s="87">
        <v>1</v>
      </c>
      <c r="D9" s="86" t="s">
        <v>68</v>
      </c>
      <c r="E9" s="86" t="s">
        <v>226</v>
      </c>
      <c r="F9" s="88">
        <v>0</v>
      </c>
      <c r="G9" s="86" t="s">
        <v>64</v>
      </c>
      <c r="H9" s="196"/>
      <c r="I9" s="90">
        <v>0</v>
      </c>
      <c r="J9" s="86" t="s">
        <v>65</v>
      </c>
      <c r="K9" s="86" t="s">
        <v>64</v>
      </c>
      <c r="L9" s="86" t="s">
        <v>64</v>
      </c>
      <c r="M9" s="86" t="s">
        <v>65</v>
      </c>
      <c r="N9" s="192">
        <f t="shared" si="0"/>
        <v>0</v>
      </c>
      <c r="O9" s="193">
        <f t="shared" si="1"/>
        <v>0</v>
      </c>
      <c r="P9" s="134" t="s">
        <v>76</v>
      </c>
      <c r="Q9" s="134">
        <v>1</v>
      </c>
      <c r="R9" s="134" t="s">
        <v>185</v>
      </c>
      <c r="S9" s="96" t="s">
        <v>162</v>
      </c>
      <c r="T9" s="84" t="s">
        <v>67</v>
      </c>
      <c r="U9" s="84"/>
      <c r="W9" s="84" t="str">
        <f t="shared" si="2"/>
        <v>304000011LRSMITH-ASB0CONTINGENCY</v>
      </c>
      <c r="X9" s="84"/>
    </row>
    <row r="10" spans="1:29" x14ac:dyDescent="0.25">
      <c r="A10" s="86" t="s">
        <v>63</v>
      </c>
      <c r="B10" s="87" t="s">
        <v>171</v>
      </c>
      <c r="C10" s="87">
        <v>2</v>
      </c>
      <c r="D10" s="86" t="s">
        <v>69</v>
      </c>
      <c r="E10" s="86" t="s">
        <v>226</v>
      </c>
      <c r="F10" s="91">
        <v>0</v>
      </c>
      <c r="G10" s="86" t="s">
        <v>64</v>
      </c>
      <c r="H10" s="197"/>
      <c r="I10" s="194">
        <v>0</v>
      </c>
      <c r="J10" s="86" t="s">
        <v>65</v>
      </c>
      <c r="K10" s="86" t="s">
        <v>64</v>
      </c>
      <c r="L10" s="86" t="s">
        <v>64</v>
      </c>
      <c r="M10" s="86" t="s">
        <v>65</v>
      </c>
      <c r="N10" s="192">
        <f t="shared" si="0"/>
        <v>0</v>
      </c>
      <c r="O10" s="193">
        <f t="shared" si="1"/>
        <v>0</v>
      </c>
      <c r="P10" s="134" t="s">
        <v>76</v>
      </c>
      <c r="Q10" s="134">
        <v>1</v>
      </c>
      <c r="R10" s="134" t="s">
        <v>185</v>
      </c>
      <c r="S10" s="96" t="s">
        <v>162</v>
      </c>
      <c r="T10" s="84" t="s">
        <v>67</v>
      </c>
      <c r="U10" s="84"/>
      <c r="W10" s="84" t="str">
        <f t="shared" si="2"/>
        <v>304000022LRSMITH-ASB0CONTINGENCY</v>
      </c>
      <c r="X10" s="84"/>
    </row>
    <row r="11" spans="1:29" x14ac:dyDescent="0.25">
      <c r="A11" s="86" t="s">
        <v>63</v>
      </c>
      <c r="B11" s="87" t="s">
        <v>171</v>
      </c>
      <c r="C11" s="113" t="s">
        <v>73</v>
      </c>
      <c r="D11" s="109" t="s">
        <v>74</v>
      </c>
      <c r="E11" s="86" t="s">
        <v>226</v>
      </c>
      <c r="F11" s="88">
        <v>0</v>
      </c>
      <c r="G11" s="86" t="s">
        <v>64</v>
      </c>
      <c r="H11" s="197"/>
      <c r="I11" s="194">
        <v>0</v>
      </c>
      <c r="J11" s="86" t="s">
        <v>65</v>
      </c>
      <c r="K11" s="86" t="s">
        <v>64</v>
      </c>
      <c r="L11" s="86" t="s">
        <v>64</v>
      </c>
      <c r="M11" s="86" t="s">
        <v>65</v>
      </c>
      <c r="N11" s="192">
        <f t="shared" si="0"/>
        <v>0</v>
      </c>
      <c r="O11" s="193">
        <f t="shared" si="1"/>
        <v>0</v>
      </c>
      <c r="P11" s="134" t="s">
        <v>76</v>
      </c>
      <c r="Q11" s="134">
        <v>1</v>
      </c>
      <c r="R11" s="134" t="s">
        <v>185</v>
      </c>
      <c r="S11" s="96" t="s">
        <v>162</v>
      </c>
      <c r="T11" s="84" t="s">
        <v>67</v>
      </c>
      <c r="U11" s="84"/>
      <c r="W11" s="84" t="str">
        <f t="shared" si="2"/>
        <v>3040000CCLRSMITH-ASB0CONTINGENCY</v>
      </c>
      <c r="X11" s="84"/>
    </row>
    <row r="12" spans="1:29" x14ac:dyDescent="0.25">
      <c r="A12" s="86" t="s">
        <v>63</v>
      </c>
      <c r="B12" s="87" t="s">
        <v>171</v>
      </c>
      <c r="C12" s="87">
        <v>1</v>
      </c>
      <c r="D12" s="86" t="s">
        <v>68</v>
      </c>
      <c r="E12" s="86" t="s">
        <v>217</v>
      </c>
      <c r="F12" s="88">
        <v>0</v>
      </c>
      <c r="G12" s="86" t="s">
        <v>64</v>
      </c>
      <c r="H12" s="196"/>
      <c r="I12" s="90">
        <v>0</v>
      </c>
      <c r="J12" s="86" t="s">
        <v>65</v>
      </c>
      <c r="K12" s="86" t="s">
        <v>64</v>
      </c>
      <c r="L12" s="86" t="s">
        <v>64</v>
      </c>
      <c r="M12" s="86" t="s">
        <v>65</v>
      </c>
      <c r="N12" s="192">
        <f t="shared" si="0"/>
        <v>0</v>
      </c>
      <c r="O12" s="193">
        <f t="shared" si="1"/>
        <v>0</v>
      </c>
      <c r="P12" s="134" t="s">
        <v>66</v>
      </c>
      <c r="Q12" s="134">
        <v>1</v>
      </c>
      <c r="R12" s="134" t="s">
        <v>185</v>
      </c>
      <c r="S12" s="96" t="s">
        <v>162</v>
      </c>
      <c r="T12" s="112" t="s">
        <v>67</v>
      </c>
      <c r="U12" s="84"/>
      <c r="V12" s="84"/>
      <c r="W12" s="84" t="str">
        <f t="shared" si="2"/>
        <v>304000011LRSMITH-ECO0CONTINGENCY</v>
      </c>
      <c r="X12" s="84"/>
    </row>
    <row r="13" spans="1:29" x14ac:dyDescent="0.25">
      <c r="A13" s="86" t="s">
        <v>63</v>
      </c>
      <c r="B13" s="87" t="s">
        <v>171</v>
      </c>
      <c r="C13" s="87">
        <v>2</v>
      </c>
      <c r="D13" s="86" t="s">
        <v>69</v>
      </c>
      <c r="E13" s="86" t="s">
        <v>217</v>
      </c>
      <c r="F13" s="88">
        <v>0</v>
      </c>
      <c r="G13" s="86" t="s">
        <v>64</v>
      </c>
      <c r="H13" s="196"/>
      <c r="I13" s="90">
        <v>0</v>
      </c>
      <c r="J13" s="86" t="s">
        <v>65</v>
      </c>
      <c r="K13" s="86" t="s">
        <v>64</v>
      </c>
      <c r="L13" s="86" t="s">
        <v>64</v>
      </c>
      <c r="M13" s="86" t="s">
        <v>65</v>
      </c>
      <c r="N13" s="192">
        <f t="shared" si="0"/>
        <v>0</v>
      </c>
      <c r="O13" s="193">
        <f t="shared" si="1"/>
        <v>0</v>
      </c>
      <c r="P13" s="134" t="s">
        <v>66</v>
      </c>
      <c r="Q13" s="134">
        <v>1</v>
      </c>
      <c r="R13" s="134" t="s">
        <v>185</v>
      </c>
      <c r="S13" s="96" t="s">
        <v>162</v>
      </c>
      <c r="T13" s="112" t="s">
        <v>67</v>
      </c>
      <c r="U13" s="84"/>
      <c r="V13" s="84"/>
      <c r="W13" s="84" t="str">
        <f t="shared" si="2"/>
        <v>304000022LRSMITH-ECO0CONTINGENCY</v>
      </c>
      <c r="X13" s="84"/>
    </row>
    <row r="14" spans="1:29" x14ac:dyDescent="0.25">
      <c r="A14" s="86" t="s">
        <v>63</v>
      </c>
      <c r="B14" s="87" t="s">
        <v>171</v>
      </c>
      <c r="C14" s="87" t="s">
        <v>73</v>
      </c>
      <c r="D14" s="86" t="s">
        <v>74</v>
      </c>
      <c r="E14" s="86" t="s">
        <v>217</v>
      </c>
      <c r="F14" s="88">
        <v>0</v>
      </c>
      <c r="G14" s="86" t="s">
        <v>64</v>
      </c>
      <c r="H14" s="196"/>
      <c r="I14" s="90">
        <v>0</v>
      </c>
      <c r="J14" s="86" t="s">
        <v>65</v>
      </c>
      <c r="K14" s="86" t="s">
        <v>64</v>
      </c>
      <c r="L14" s="86" t="s">
        <v>64</v>
      </c>
      <c r="M14" s="86" t="s">
        <v>65</v>
      </c>
      <c r="N14" s="192">
        <f t="shared" si="0"/>
        <v>0</v>
      </c>
      <c r="O14" s="193">
        <f t="shared" si="1"/>
        <v>0</v>
      </c>
      <c r="P14" s="134" t="s">
        <v>66</v>
      </c>
      <c r="Q14" s="134">
        <v>1</v>
      </c>
      <c r="R14" s="134" t="s">
        <v>185</v>
      </c>
      <c r="S14" s="96" t="s">
        <v>162</v>
      </c>
      <c r="T14" s="112" t="s">
        <v>67</v>
      </c>
      <c r="U14" s="84"/>
      <c r="V14" s="84"/>
      <c r="W14" s="84" t="str">
        <f t="shared" si="2"/>
        <v>3040000CCLRSMITH-ECO0CONTINGENCY</v>
      </c>
      <c r="X14" s="84"/>
    </row>
    <row r="15" spans="1:29" s="139" customFormat="1" x14ac:dyDescent="0.25">
      <c r="A15" s="86" t="s">
        <v>63</v>
      </c>
      <c r="B15" s="87" t="s">
        <v>171</v>
      </c>
      <c r="C15" s="87">
        <v>1</v>
      </c>
      <c r="D15" s="86" t="s">
        <v>68</v>
      </c>
      <c r="E15" s="86" t="s">
        <v>218</v>
      </c>
      <c r="F15" s="88">
        <v>0</v>
      </c>
      <c r="G15" s="86" t="s">
        <v>64</v>
      </c>
      <c r="H15" s="198"/>
      <c r="I15" s="90">
        <v>0</v>
      </c>
      <c r="J15" s="86" t="s">
        <v>65</v>
      </c>
      <c r="K15" s="86" t="s">
        <v>64</v>
      </c>
      <c r="L15" s="86" t="s">
        <v>64</v>
      </c>
      <c r="M15" s="86" t="s">
        <v>65</v>
      </c>
      <c r="N15" s="192">
        <f t="shared" si="0"/>
        <v>0</v>
      </c>
      <c r="O15" s="193">
        <f t="shared" si="1"/>
        <v>0</v>
      </c>
      <c r="P15" s="134" t="s">
        <v>75</v>
      </c>
      <c r="Q15" s="134">
        <v>1</v>
      </c>
      <c r="R15" s="134" t="s">
        <v>185</v>
      </c>
      <c r="S15" s="96" t="s">
        <v>162</v>
      </c>
      <c r="T15" s="112" t="s">
        <v>67</v>
      </c>
      <c r="U15" s="84"/>
      <c r="V15" s="84"/>
      <c r="W15" s="84" t="str">
        <f t="shared" si="2"/>
        <v>304000011LRSMITH-NON0CONTINGENCY</v>
      </c>
      <c r="X15" s="84"/>
    </row>
    <row r="16" spans="1:29" s="139" customFormat="1" x14ac:dyDescent="0.25">
      <c r="A16" s="86" t="s">
        <v>63</v>
      </c>
      <c r="B16" s="87" t="s">
        <v>171</v>
      </c>
      <c r="C16" s="87">
        <v>2</v>
      </c>
      <c r="D16" s="86" t="s">
        <v>69</v>
      </c>
      <c r="E16" s="86" t="s">
        <v>218</v>
      </c>
      <c r="F16" s="88">
        <v>0</v>
      </c>
      <c r="G16" s="86" t="s">
        <v>64</v>
      </c>
      <c r="H16" s="198"/>
      <c r="I16" s="90">
        <v>0</v>
      </c>
      <c r="J16" s="86" t="s">
        <v>65</v>
      </c>
      <c r="K16" s="86" t="s">
        <v>64</v>
      </c>
      <c r="L16" s="86" t="s">
        <v>64</v>
      </c>
      <c r="M16" s="86" t="s">
        <v>65</v>
      </c>
      <c r="N16" s="192">
        <f t="shared" si="0"/>
        <v>0</v>
      </c>
      <c r="O16" s="193">
        <f t="shared" si="1"/>
        <v>0</v>
      </c>
      <c r="P16" s="134" t="s">
        <v>75</v>
      </c>
      <c r="Q16" s="134">
        <v>1</v>
      </c>
      <c r="R16" s="134" t="s">
        <v>185</v>
      </c>
      <c r="S16" s="96" t="s">
        <v>162</v>
      </c>
      <c r="T16" s="112" t="s">
        <v>67</v>
      </c>
      <c r="U16" s="84"/>
      <c r="V16" s="84"/>
      <c r="W16" s="84" t="str">
        <f t="shared" si="2"/>
        <v>304000022LRSMITH-NON0CONTINGENCY</v>
      </c>
      <c r="X16" s="84"/>
    </row>
    <row r="17" spans="1:24" s="139" customFormat="1" x14ac:dyDescent="0.25">
      <c r="A17" s="86" t="s">
        <v>63</v>
      </c>
      <c r="B17" s="87" t="s">
        <v>171</v>
      </c>
      <c r="C17" s="87" t="s">
        <v>214</v>
      </c>
      <c r="D17" s="86" t="s">
        <v>220</v>
      </c>
      <c r="E17" s="86" t="s">
        <v>218</v>
      </c>
      <c r="F17" s="88">
        <v>0</v>
      </c>
      <c r="G17" s="86" t="s">
        <v>64</v>
      </c>
      <c r="H17" s="198"/>
      <c r="I17" s="90">
        <v>0</v>
      </c>
      <c r="J17" s="86" t="s">
        <v>65</v>
      </c>
      <c r="K17" s="86" t="s">
        <v>64</v>
      </c>
      <c r="L17" s="86" t="s">
        <v>64</v>
      </c>
      <c r="M17" s="86" t="s">
        <v>65</v>
      </c>
      <c r="N17" s="192">
        <f t="shared" si="0"/>
        <v>0</v>
      </c>
      <c r="O17" s="193">
        <f t="shared" si="1"/>
        <v>0</v>
      </c>
      <c r="P17" s="134" t="s">
        <v>75</v>
      </c>
      <c r="Q17" s="134">
        <v>1</v>
      </c>
      <c r="R17" s="134" t="s">
        <v>185</v>
      </c>
      <c r="S17" s="96" t="s">
        <v>162</v>
      </c>
      <c r="T17" s="112" t="s">
        <v>67</v>
      </c>
      <c r="U17" s="84"/>
      <c r="V17" s="84"/>
      <c r="W17" s="84" t="str">
        <f t="shared" si="2"/>
        <v>30400003CC3LRCCSMITH-NON0CONTINGENCY</v>
      </c>
      <c r="X17" s="84"/>
    </row>
    <row r="18" spans="1:24" s="139" customFormat="1" x14ac:dyDescent="0.25">
      <c r="A18" s="86" t="s">
        <v>63</v>
      </c>
      <c r="B18" s="87" t="s">
        <v>171</v>
      </c>
      <c r="C18" s="87" t="s">
        <v>215</v>
      </c>
      <c r="D18" s="86" t="s">
        <v>223</v>
      </c>
      <c r="E18" s="86" t="s">
        <v>218</v>
      </c>
      <c r="F18" s="88">
        <v>0</v>
      </c>
      <c r="G18" s="86" t="s">
        <v>64</v>
      </c>
      <c r="H18" s="198"/>
      <c r="I18" s="90">
        <v>0</v>
      </c>
      <c r="J18" s="86" t="s">
        <v>65</v>
      </c>
      <c r="K18" s="86" t="s">
        <v>64</v>
      </c>
      <c r="L18" s="86" t="s">
        <v>64</v>
      </c>
      <c r="M18" s="86" t="s">
        <v>65</v>
      </c>
      <c r="N18" s="192">
        <f t="shared" si="0"/>
        <v>0</v>
      </c>
      <c r="O18" s="193">
        <f t="shared" si="1"/>
        <v>0</v>
      </c>
      <c r="P18" s="134" t="s">
        <v>75</v>
      </c>
      <c r="Q18" s="134">
        <v>1</v>
      </c>
      <c r="R18" s="134" t="s">
        <v>185</v>
      </c>
      <c r="S18" s="96" t="s">
        <v>162</v>
      </c>
      <c r="T18" s="112" t="s">
        <v>67</v>
      </c>
      <c r="U18" s="84"/>
      <c r="V18" s="84"/>
      <c r="W18" s="84" t="str">
        <f t="shared" si="2"/>
        <v>30400004CT4LRCTSMITH-NON0CONTINGENCY</v>
      </c>
      <c r="X18" s="84"/>
    </row>
    <row r="19" spans="1:24" s="139" customFormat="1" x14ac:dyDescent="0.25">
      <c r="A19" s="86" t="s">
        <v>63</v>
      </c>
      <c r="B19" s="87" t="s">
        <v>171</v>
      </c>
      <c r="C19" s="87" t="s">
        <v>73</v>
      </c>
      <c r="D19" s="86" t="s">
        <v>74</v>
      </c>
      <c r="E19" s="86" t="s">
        <v>218</v>
      </c>
      <c r="F19" s="88">
        <v>0</v>
      </c>
      <c r="G19" s="86" t="s">
        <v>64</v>
      </c>
      <c r="H19" s="198"/>
      <c r="I19" s="90">
        <v>0</v>
      </c>
      <c r="J19" s="86" t="s">
        <v>65</v>
      </c>
      <c r="K19" s="86" t="s">
        <v>64</v>
      </c>
      <c r="L19" s="86" t="s">
        <v>64</v>
      </c>
      <c r="M19" s="86" t="s">
        <v>65</v>
      </c>
      <c r="N19" s="192">
        <f t="shared" si="0"/>
        <v>0</v>
      </c>
      <c r="O19" s="193">
        <f t="shared" si="1"/>
        <v>0</v>
      </c>
      <c r="P19" s="134" t="s">
        <v>75</v>
      </c>
      <c r="Q19" s="134">
        <v>1</v>
      </c>
      <c r="R19" s="134" t="s">
        <v>185</v>
      </c>
      <c r="S19" s="96" t="s">
        <v>162</v>
      </c>
      <c r="T19" s="112" t="s">
        <v>67</v>
      </c>
      <c r="U19" s="84"/>
      <c r="V19" s="84"/>
      <c r="W19" s="84" t="str">
        <f t="shared" si="2"/>
        <v>3040000CCLRSMITH-NON0CONTINGENCY</v>
      </c>
      <c r="X19" s="84"/>
    </row>
    <row r="20" spans="1:24" s="139" customFormat="1" x14ac:dyDescent="0.25">
      <c r="A20" s="86" t="s">
        <v>83</v>
      </c>
      <c r="B20" s="87" t="s">
        <v>172</v>
      </c>
      <c r="C20" s="87" t="s">
        <v>73</v>
      </c>
      <c r="D20" s="86" t="s">
        <v>74</v>
      </c>
      <c r="E20" s="86" t="s">
        <v>218</v>
      </c>
      <c r="F20" s="131">
        <v>1</v>
      </c>
      <c r="G20" s="86" t="s">
        <v>84</v>
      </c>
      <c r="H20" s="104">
        <f>'Smith Data'!$E$10</f>
        <v>200000</v>
      </c>
      <c r="I20" s="195">
        <f>'Smith Data'!$F$10</f>
        <v>200000</v>
      </c>
      <c r="J20" s="86" t="s">
        <v>85</v>
      </c>
      <c r="K20" s="86" t="s">
        <v>64</v>
      </c>
      <c r="L20" s="86" t="s">
        <v>64</v>
      </c>
      <c r="M20" s="86" t="s">
        <v>85</v>
      </c>
      <c r="N20" s="192">
        <f t="shared" si="0"/>
        <v>200000</v>
      </c>
      <c r="O20" s="193">
        <f t="shared" si="1"/>
        <v>200000</v>
      </c>
      <c r="P20" s="134" t="s">
        <v>75</v>
      </c>
      <c r="Q20" s="134">
        <v>1</v>
      </c>
      <c r="R20" s="134" t="s">
        <v>185</v>
      </c>
      <c r="S20" s="96" t="s">
        <v>162</v>
      </c>
      <c r="T20" s="112" t="s">
        <v>86</v>
      </c>
      <c r="U20" s="84"/>
      <c r="V20" s="136">
        <v>4</v>
      </c>
      <c r="W20" s="84" t="str">
        <f t="shared" si="2"/>
        <v>3070201MOCCLRSMITH-NON1LT200000CONTRACTOR MOBILIZATION</v>
      </c>
      <c r="X20" s="84"/>
    </row>
    <row r="21" spans="1:24" s="139" customFormat="1" x14ac:dyDescent="0.25">
      <c r="A21" s="86" t="s">
        <v>154</v>
      </c>
      <c r="B21" s="87" t="s">
        <v>173</v>
      </c>
      <c r="C21" s="87" t="s">
        <v>214</v>
      </c>
      <c r="D21" s="86" t="s">
        <v>221</v>
      </c>
      <c r="E21" s="86" t="s">
        <v>218</v>
      </c>
      <c r="F21" s="91">
        <f>'Smith Data'!$D$59*0.2</f>
        <v>30060</v>
      </c>
      <c r="G21" s="86" t="s">
        <v>36</v>
      </c>
      <c r="H21" s="104">
        <f>'Smith Data'!$E$59</f>
        <v>-0.31414430979039298</v>
      </c>
      <c r="I21" s="195">
        <f>'Smith Data'!$F$59*0.2</f>
        <v>-11127.749538461541</v>
      </c>
      <c r="J21" s="86" t="s">
        <v>155</v>
      </c>
      <c r="K21" s="86" t="s">
        <v>133</v>
      </c>
      <c r="L21" s="86" t="s">
        <v>64</v>
      </c>
      <c r="M21" s="86" t="s">
        <v>267</v>
      </c>
      <c r="N21" s="192">
        <f t="shared" si="0"/>
        <v>-0.31414430979039298</v>
      </c>
      <c r="O21" s="193">
        <f t="shared" si="1"/>
        <v>-11127.749538461541</v>
      </c>
      <c r="P21" s="134" t="s">
        <v>75</v>
      </c>
      <c r="Q21" s="134">
        <v>1</v>
      </c>
      <c r="R21" s="134" t="s">
        <v>185</v>
      </c>
      <c r="S21" s="96" t="s">
        <v>166</v>
      </c>
      <c r="T21" s="112" t="s">
        <v>86</v>
      </c>
      <c r="U21" s="84" t="s">
        <v>104</v>
      </c>
      <c r="V21" s="136">
        <v>42</v>
      </c>
      <c r="W21" s="84" t="str">
        <f t="shared" si="2"/>
        <v>343UND3CC3MSCCSMITH-NON30060lbs-0.314144309790393CTs - CU Sales</v>
      </c>
      <c r="X21" s="84"/>
    </row>
    <row r="22" spans="1:24" s="139" customFormat="1" x14ac:dyDescent="0.25">
      <c r="A22" s="86" t="s">
        <v>157</v>
      </c>
      <c r="B22" s="87" t="s">
        <v>174</v>
      </c>
      <c r="C22" s="87" t="s">
        <v>214</v>
      </c>
      <c r="D22" s="86" t="s">
        <v>221</v>
      </c>
      <c r="E22" s="86" t="s">
        <v>218</v>
      </c>
      <c r="F22" s="91">
        <f>'Smith Data'!$D$59*0.8</f>
        <v>120240</v>
      </c>
      <c r="G22" s="86" t="s">
        <v>36</v>
      </c>
      <c r="H22" s="104">
        <f>'Smith Data'!$E$59</f>
        <v>-0.31414430979039298</v>
      </c>
      <c r="I22" s="195">
        <f>'Smith Data'!$F$59*0.8</f>
        <v>-44510.998153846165</v>
      </c>
      <c r="J22" s="86" t="s">
        <v>155</v>
      </c>
      <c r="K22" s="86" t="s">
        <v>133</v>
      </c>
      <c r="L22" s="86" t="s">
        <v>64</v>
      </c>
      <c r="M22" s="86" t="s">
        <v>267</v>
      </c>
      <c r="N22" s="192">
        <f t="shared" si="0"/>
        <v>-0.31414430979039298</v>
      </c>
      <c r="O22" s="193">
        <f t="shared" si="1"/>
        <v>-44510.998153846165</v>
      </c>
      <c r="P22" s="134" t="s">
        <v>75</v>
      </c>
      <c r="Q22" s="134">
        <v>1</v>
      </c>
      <c r="R22" s="134" t="s">
        <v>185</v>
      </c>
      <c r="S22" s="96" t="s">
        <v>166</v>
      </c>
      <c r="T22" s="112" t="s">
        <v>86</v>
      </c>
      <c r="U22" s="84" t="s">
        <v>104</v>
      </c>
      <c r="V22" s="136">
        <v>42</v>
      </c>
      <c r="W22" s="84" t="str">
        <f t="shared" si="2"/>
        <v>345UND3CC3MSCCSMITH-NON120240lbs-0.314144309790393CTs - CU Sales</v>
      </c>
      <c r="X22" s="84"/>
    </row>
    <row r="23" spans="1:24" s="139" customFormat="1" x14ac:dyDescent="0.25">
      <c r="A23" s="86" t="s">
        <v>154</v>
      </c>
      <c r="B23" s="87" t="s">
        <v>173</v>
      </c>
      <c r="C23" s="87" t="s">
        <v>215</v>
      </c>
      <c r="D23" s="86" t="s">
        <v>224</v>
      </c>
      <c r="E23" s="86" t="s">
        <v>218</v>
      </c>
      <c r="F23" s="88">
        <f>'Smith Data'!$D$68*0.2</f>
        <v>5559</v>
      </c>
      <c r="G23" s="86" t="s">
        <v>36</v>
      </c>
      <c r="H23" s="104">
        <f>'Smith Data'!$E$68</f>
        <v>-0.31414430979039298</v>
      </c>
      <c r="I23" s="195">
        <f>'Smith Data'!$F$68*0.2</f>
        <v>-2057.8562769230771</v>
      </c>
      <c r="J23" s="86" t="s">
        <v>155</v>
      </c>
      <c r="K23" s="86" t="s">
        <v>133</v>
      </c>
      <c r="L23" s="86" t="s">
        <v>64</v>
      </c>
      <c r="M23" s="86" t="s">
        <v>267</v>
      </c>
      <c r="N23" s="192">
        <f t="shared" si="0"/>
        <v>-0.31414430979039298</v>
      </c>
      <c r="O23" s="193">
        <f t="shared" si="1"/>
        <v>-2057.8562769230771</v>
      </c>
      <c r="P23" s="134" t="s">
        <v>75</v>
      </c>
      <c r="Q23" s="134">
        <v>1</v>
      </c>
      <c r="R23" s="134" t="s">
        <v>185</v>
      </c>
      <c r="S23" s="96" t="s">
        <v>166</v>
      </c>
      <c r="T23" s="112" t="s">
        <v>86</v>
      </c>
      <c r="U23" s="84" t="s">
        <v>104</v>
      </c>
      <c r="V23" s="136">
        <v>49</v>
      </c>
      <c r="W23" s="84" t="str">
        <f t="shared" si="2"/>
        <v>343UND4CT4MSCTSMITH-NON5559lbs-0.314144309790393CTs - CU Sales</v>
      </c>
      <c r="X23" s="84"/>
    </row>
    <row r="24" spans="1:24" s="139" customFormat="1" x14ac:dyDescent="0.25">
      <c r="A24" s="86" t="s">
        <v>157</v>
      </c>
      <c r="B24" s="87" t="s">
        <v>174</v>
      </c>
      <c r="C24" s="87" t="s">
        <v>215</v>
      </c>
      <c r="D24" s="86" t="s">
        <v>224</v>
      </c>
      <c r="E24" s="86" t="s">
        <v>218</v>
      </c>
      <c r="F24" s="88">
        <f>'Smith Data'!$D$68*0.8</f>
        <v>22236</v>
      </c>
      <c r="G24" s="86" t="s">
        <v>36</v>
      </c>
      <c r="H24" s="104">
        <f>'Smith Data'!$E$68</f>
        <v>-0.31414430979039298</v>
      </c>
      <c r="I24" s="195">
        <f>'Smith Data'!$F$68*0.8</f>
        <v>-8231.4251076923083</v>
      </c>
      <c r="J24" s="86" t="s">
        <v>155</v>
      </c>
      <c r="K24" s="86" t="s">
        <v>133</v>
      </c>
      <c r="L24" s="86" t="s">
        <v>64</v>
      </c>
      <c r="M24" s="86" t="s">
        <v>267</v>
      </c>
      <c r="N24" s="192">
        <f t="shared" si="0"/>
        <v>-0.31414430979039298</v>
      </c>
      <c r="O24" s="193">
        <f t="shared" si="1"/>
        <v>-8231.4251076923083</v>
      </c>
      <c r="P24" s="134" t="s">
        <v>75</v>
      </c>
      <c r="Q24" s="134">
        <v>1</v>
      </c>
      <c r="R24" s="134" t="s">
        <v>185</v>
      </c>
      <c r="S24" s="96" t="s">
        <v>166</v>
      </c>
      <c r="T24" s="112" t="s">
        <v>86</v>
      </c>
      <c r="U24" s="84" t="s">
        <v>104</v>
      </c>
      <c r="V24" s="136">
        <v>49</v>
      </c>
      <c r="W24" s="84" t="str">
        <f t="shared" si="2"/>
        <v>345UND4CT4MSCTSMITH-NON22236lbs-0.314144309790393CTs - CU Sales</v>
      </c>
      <c r="X24" s="84"/>
    </row>
    <row r="25" spans="1:24" s="139" customFormat="1" x14ac:dyDescent="0.25">
      <c r="A25" s="86" t="s">
        <v>147</v>
      </c>
      <c r="B25" s="87" t="s">
        <v>175</v>
      </c>
      <c r="C25" s="87" t="s">
        <v>214</v>
      </c>
      <c r="D25" s="86" t="s">
        <v>220</v>
      </c>
      <c r="E25" s="86" t="s">
        <v>218</v>
      </c>
      <c r="F25" s="91">
        <f>'Smith Data'!$D$57*0.6</f>
        <v>1914</v>
      </c>
      <c r="G25" s="86" t="s">
        <v>33</v>
      </c>
      <c r="H25" s="90">
        <f>'Smith Data'!$E$57</f>
        <v>244.89599999999999</v>
      </c>
      <c r="I25" s="195">
        <f>'Smith Data'!$F$57*0.6</f>
        <v>468730.94399999996</v>
      </c>
      <c r="J25" s="86" t="s">
        <v>148</v>
      </c>
      <c r="K25" s="86" t="s">
        <v>64</v>
      </c>
      <c r="L25" s="86" t="s">
        <v>64</v>
      </c>
      <c r="M25" s="86" t="s">
        <v>121</v>
      </c>
      <c r="N25" s="192">
        <f t="shared" si="0"/>
        <v>244.89599999999999</v>
      </c>
      <c r="O25" s="193">
        <f t="shared" si="1"/>
        <v>468730.94399999996</v>
      </c>
      <c r="P25" s="134" t="s">
        <v>75</v>
      </c>
      <c r="Q25" s="134">
        <v>1</v>
      </c>
      <c r="R25" s="134" t="s">
        <v>185</v>
      </c>
      <c r="S25" s="96" t="s">
        <v>162</v>
      </c>
      <c r="T25" s="112" t="s">
        <v>86</v>
      </c>
      <c r="U25" s="84" t="s">
        <v>104</v>
      </c>
      <c r="V25" s="136">
        <v>40</v>
      </c>
      <c r="W25" s="84" t="str">
        <f t="shared" si="2"/>
        <v>341UND3CC3LRCCSMITH-NON1914nt244.896CTs - DEMO</v>
      </c>
      <c r="X25" s="84"/>
    </row>
    <row r="26" spans="1:24" s="139" customFormat="1" x14ac:dyDescent="0.25">
      <c r="A26" s="86" t="s">
        <v>154</v>
      </c>
      <c r="B26" s="87" t="s">
        <v>173</v>
      </c>
      <c r="C26" s="87" t="s">
        <v>214</v>
      </c>
      <c r="D26" s="86" t="s">
        <v>220</v>
      </c>
      <c r="E26" s="86" t="s">
        <v>218</v>
      </c>
      <c r="F26" s="91">
        <f>'Smith Data'!$D$57*0.2</f>
        <v>638</v>
      </c>
      <c r="G26" s="86" t="s">
        <v>33</v>
      </c>
      <c r="H26" s="90">
        <f>'Smith Data'!$E$57</f>
        <v>244.89599999999999</v>
      </c>
      <c r="I26" s="195">
        <f>'Smith Data'!$F$57*0.2</f>
        <v>156243.64800000002</v>
      </c>
      <c r="J26" s="86" t="s">
        <v>148</v>
      </c>
      <c r="K26" s="86" t="s">
        <v>64</v>
      </c>
      <c r="L26" s="86" t="s">
        <v>64</v>
      </c>
      <c r="M26" s="86" t="s">
        <v>121</v>
      </c>
      <c r="N26" s="192">
        <f t="shared" si="0"/>
        <v>244.89599999999999</v>
      </c>
      <c r="O26" s="193">
        <f t="shared" si="1"/>
        <v>156243.64800000002</v>
      </c>
      <c r="P26" s="134" t="s">
        <v>75</v>
      </c>
      <c r="Q26" s="134">
        <v>1</v>
      </c>
      <c r="R26" s="134" t="s">
        <v>185</v>
      </c>
      <c r="S26" s="96" t="s">
        <v>162</v>
      </c>
      <c r="T26" s="112" t="s">
        <v>86</v>
      </c>
      <c r="U26" s="84" t="s">
        <v>104</v>
      </c>
      <c r="V26" s="136">
        <v>40</v>
      </c>
      <c r="W26" s="84" t="str">
        <f t="shared" si="2"/>
        <v>343UND3CC3LRCCSMITH-NON638nt244.896CTs - DEMO</v>
      </c>
      <c r="X26" s="84"/>
    </row>
    <row r="27" spans="1:24" x14ac:dyDescent="0.25">
      <c r="A27" s="86" t="s">
        <v>156</v>
      </c>
      <c r="B27" s="87" t="s">
        <v>176</v>
      </c>
      <c r="C27" s="87" t="s">
        <v>214</v>
      </c>
      <c r="D27" s="86" t="s">
        <v>220</v>
      </c>
      <c r="E27" s="86" t="s">
        <v>218</v>
      </c>
      <c r="F27" s="91">
        <f>'Smith Data'!$D$57*0.15</f>
        <v>478.5</v>
      </c>
      <c r="G27" s="86" t="s">
        <v>33</v>
      </c>
      <c r="H27" s="90">
        <f>'Smith Data'!$E$57</f>
        <v>244.89599999999999</v>
      </c>
      <c r="I27" s="195">
        <f>'Smith Data'!$F$57*0.15</f>
        <v>117182.73599999999</v>
      </c>
      <c r="J27" s="86" t="s">
        <v>148</v>
      </c>
      <c r="K27" s="86" t="s">
        <v>64</v>
      </c>
      <c r="L27" s="86" t="s">
        <v>64</v>
      </c>
      <c r="M27" s="86" t="s">
        <v>121</v>
      </c>
      <c r="N27" s="192">
        <f t="shared" si="0"/>
        <v>244.89599999999999</v>
      </c>
      <c r="O27" s="193">
        <f t="shared" si="1"/>
        <v>117182.73599999999</v>
      </c>
      <c r="P27" s="134" t="s">
        <v>75</v>
      </c>
      <c r="Q27" s="134">
        <v>1</v>
      </c>
      <c r="R27" s="134" t="s">
        <v>185</v>
      </c>
      <c r="S27" s="96" t="s">
        <v>162</v>
      </c>
      <c r="T27" s="112" t="s">
        <v>86</v>
      </c>
      <c r="U27" s="84" t="s">
        <v>104</v>
      </c>
      <c r="V27" s="136">
        <v>40</v>
      </c>
      <c r="W27" s="84" t="str">
        <f t="shared" si="2"/>
        <v>344UND3CC3LRCCSMITH-NON478.5nt244.896CTs - DEMO</v>
      </c>
      <c r="X27" s="84"/>
    </row>
    <row r="28" spans="1:24" x14ac:dyDescent="0.25">
      <c r="A28" s="86" t="s">
        <v>157</v>
      </c>
      <c r="B28" s="87" t="s">
        <v>174</v>
      </c>
      <c r="C28" s="87" t="s">
        <v>214</v>
      </c>
      <c r="D28" s="86" t="s">
        <v>220</v>
      </c>
      <c r="E28" s="86" t="s">
        <v>218</v>
      </c>
      <c r="F28" s="91">
        <f>'Smith Data'!$D$57*0.05</f>
        <v>159.5</v>
      </c>
      <c r="G28" s="86" t="s">
        <v>33</v>
      </c>
      <c r="H28" s="90">
        <f>'Smith Data'!$E$57</f>
        <v>244.89599999999999</v>
      </c>
      <c r="I28" s="195">
        <f>'Smith Data'!$F$57*0.05</f>
        <v>39060.912000000004</v>
      </c>
      <c r="J28" s="86" t="s">
        <v>148</v>
      </c>
      <c r="K28" s="86" t="s">
        <v>64</v>
      </c>
      <c r="L28" s="86" t="s">
        <v>64</v>
      </c>
      <c r="M28" s="86" t="s">
        <v>121</v>
      </c>
      <c r="N28" s="192">
        <f t="shared" si="0"/>
        <v>244.89599999999999</v>
      </c>
      <c r="O28" s="193">
        <f t="shared" si="1"/>
        <v>39060.912000000004</v>
      </c>
      <c r="P28" s="134" t="s">
        <v>75</v>
      </c>
      <c r="Q28" s="134">
        <v>1</v>
      </c>
      <c r="R28" s="134" t="s">
        <v>185</v>
      </c>
      <c r="S28" s="96" t="s">
        <v>162</v>
      </c>
      <c r="T28" s="112" t="s">
        <v>86</v>
      </c>
      <c r="U28" s="84" t="s">
        <v>104</v>
      </c>
      <c r="V28" s="136">
        <v>40</v>
      </c>
      <c r="W28" s="84" t="str">
        <f t="shared" si="2"/>
        <v>345UND3CC3LRCCSMITH-NON159.5nt244.896CTs - DEMO</v>
      </c>
      <c r="X28" s="84"/>
    </row>
    <row r="29" spans="1:24" x14ac:dyDescent="0.25">
      <c r="A29" s="86" t="s">
        <v>147</v>
      </c>
      <c r="B29" s="87" t="s">
        <v>175</v>
      </c>
      <c r="C29" s="87" t="s">
        <v>215</v>
      </c>
      <c r="D29" s="86" t="s">
        <v>223</v>
      </c>
      <c r="E29" s="86" t="s">
        <v>218</v>
      </c>
      <c r="F29" s="86">
        <f>'Smith Data'!$D$66*0.6</f>
        <v>175.2</v>
      </c>
      <c r="G29" s="86" t="s">
        <v>33</v>
      </c>
      <c r="H29" s="90">
        <f>'Smith Data'!$E$66</f>
        <v>244.89599999999999</v>
      </c>
      <c r="I29" s="195">
        <f>'Smith Data'!$F$66*0.6</f>
        <v>42905.779199999997</v>
      </c>
      <c r="J29" s="86" t="s">
        <v>148</v>
      </c>
      <c r="K29" s="86" t="s">
        <v>64</v>
      </c>
      <c r="L29" s="86" t="s">
        <v>64</v>
      </c>
      <c r="M29" s="86" t="s">
        <v>121</v>
      </c>
      <c r="N29" s="192">
        <f t="shared" si="0"/>
        <v>244.89599999999999</v>
      </c>
      <c r="O29" s="193">
        <f t="shared" si="1"/>
        <v>42905.779199999997</v>
      </c>
      <c r="P29" s="134" t="s">
        <v>75</v>
      </c>
      <c r="Q29" s="134">
        <v>1</v>
      </c>
      <c r="R29" s="134" t="s">
        <v>185</v>
      </c>
      <c r="S29" s="96" t="s">
        <v>162</v>
      </c>
      <c r="T29" s="112" t="s">
        <v>86</v>
      </c>
      <c r="U29" s="84" t="s">
        <v>104</v>
      </c>
      <c r="V29" s="136">
        <v>47</v>
      </c>
      <c r="W29" s="84" t="str">
        <f t="shared" si="2"/>
        <v>341UND4CT4LRCTSMITH-NON175.2nt244.896CTs - DEMO</v>
      </c>
      <c r="X29" s="84"/>
    </row>
    <row r="30" spans="1:24" x14ac:dyDescent="0.25">
      <c r="A30" s="86" t="s">
        <v>154</v>
      </c>
      <c r="B30" s="87" t="s">
        <v>173</v>
      </c>
      <c r="C30" s="87" t="s">
        <v>215</v>
      </c>
      <c r="D30" s="86" t="s">
        <v>223</v>
      </c>
      <c r="E30" s="86" t="s">
        <v>218</v>
      </c>
      <c r="F30" s="86">
        <f>'Smith Data'!$D$66*0.2</f>
        <v>58.400000000000006</v>
      </c>
      <c r="G30" s="86" t="s">
        <v>33</v>
      </c>
      <c r="H30" s="90">
        <f>'Smith Data'!$E$66</f>
        <v>244.89599999999999</v>
      </c>
      <c r="I30" s="195">
        <f>'Smith Data'!$F$66*0.2</f>
        <v>14301.9264</v>
      </c>
      <c r="J30" s="86" t="s">
        <v>148</v>
      </c>
      <c r="K30" s="86" t="s">
        <v>64</v>
      </c>
      <c r="L30" s="86" t="s">
        <v>64</v>
      </c>
      <c r="M30" s="86" t="s">
        <v>121</v>
      </c>
      <c r="N30" s="192">
        <f t="shared" si="0"/>
        <v>244.89599999999999</v>
      </c>
      <c r="O30" s="193">
        <f t="shared" si="1"/>
        <v>14301.9264</v>
      </c>
      <c r="P30" s="134" t="s">
        <v>75</v>
      </c>
      <c r="Q30" s="134">
        <v>1</v>
      </c>
      <c r="R30" s="134" t="s">
        <v>185</v>
      </c>
      <c r="S30" s="96" t="s">
        <v>162</v>
      </c>
      <c r="T30" s="112" t="s">
        <v>86</v>
      </c>
      <c r="U30" s="84" t="s">
        <v>104</v>
      </c>
      <c r="V30" s="136">
        <v>47</v>
      </c>
      <c r="W30" s="84" t="str">
        <f t="shared" si="2"/>
        <v>343UND4CT4LRCTSMITH-NON58.4nt244.896CTs - DEMO</v>
      </c>
      <c r="X30" s="84"/>
    </row>
    <row r="31" spans="1:24" x14ac:dyDescent="0.25">
      <c r="A31" s="86" t="s">
        <v>156</v>
      </c>
      <c r="B31" s="87" t="s">
        <v>176</v>
      </c>
      <c r="C31" s="87" t="s">
        <v>215</v>
      </c>
      <c r="D31" s="86" t="s">
        <v>223</v>
      </c>
      <c r="E31" s="86" t="s">
        <v>218</v>
      </c>
      <c r="F31" s="86">
        <f>'Smith Data'!$D$66*0.15</f>
        <v>43.8</v>
      </c>
      <c r="G31" s="86" t="s">
        <v>33</v>
      </c>
      <c r="H31" s="90">
        <f>'Smith Data'!$E$66</f>
        <v>244.89599999999999</v>
      </c>
      <c r="I31" s="195">
        <f>'Smith Data'!$F$66*0.15</f>
        <v>10726.444799999999</v>
      </c>
      <c r="J31" s="86" t="s">
        <v>148</v>
      </c>
      <c r="K31" s="86" t="s">
        <v>64</v>
      </c>
      <c r="L31" s="86" t="s">
        <v>64</v>
      </c>
      <c r="M31" s="86" t="s">
        <v>121</v>
      </c>
      <c r="N31" s="192">
        <f t="shared" si="0"/>
        <v>244.89599999999999</v>
      </c>
      <c r="O31" s="193">
        <f t="shared" si="1"/>
        <v>10726.444799999999</v>
      </c>
      <c r="P31" s="134" t="s">
        <v>75</v>
      </c>
      <c r="Q31" s="134">
        <v>1</v>
      </c>
      <c r="R31" s="134" t="s">
        <v>185</v>
      </c>
      <c r="S31" s="96" t="s">
        <v>162</v>
      </c>
      <c r="T31" s="112" t="s">
        <v>86</v>
      </c>
      <c r="U31" s="84" t="s">
        <v>104</v>
      </c>
      <c r="V31" s="136">
        <v>47</v>
      </c>
      <c r="W31" s="84" t="str">
        <f t="shared" si="2"/>
        <v>344UND4CT4LRCTSMITH-NON43.8nt244.896CTs - DEMO</v>
      </c>
      <c r="X31" s="84"/>
    </row>
    <row r="32" spans="1:24" s="138" customFormat="1" x14ac:dyDescent="0.25">
      <c r="A32" s="86" t="s">
        <v>157</v>
      </c>
      <c r="B32" s="87" t="s">
        <v>174</v>
      </c>
      <c r="C32" s="87" t="s">
        <v>215</v>
      </c>
      <c r="D32" s="86" t="s">
        <v>223</v>
      </c>
      <c r="E32" s="86" t="s">
        <v>218</v>
      </c>
      <c r="F32" s="86">
        <f>'Smith Data'!$D$66*0.05</f>
        <v>14.600000000000001</v>
      </c>
      <c r="G32" s="86" t="s">
        <v>33</v>
      </c>
      <c r="H32" s="104">
        <f>'Smith Data'!$E$66</f>
        <v>244.89599999999999</v>
      </c>
      <c r="I32" s="195">
        <f>'Smith Data'!$F$66*0.05</f>
        <v>3575.4816000000001</v>
      </c>
      <c r="J32" s="86" t="s">
        <v>148</v>
      </c>
      <c r="K32" s="86" t="s">
        <v>64</v>
      </c>
      <c r="L32" s="86" t="s">
        <v>64</v>
      </c>
      <c r="M32" s="86" t="s">
        <v>121</v>
      </c>
      <c r="N32" s="192">
        <f t="shared" si="0"/>
        <v>244.89599999999999</v>
      </c>
      <c r="O32" s="193">
        <f t="shared" si="1"/>
        <v>3575.4816000000001</v>
      </c>
      <c r="P32" s="134" t="s">
        <v>75</v>
      </c>
      <c r="Q32" s="134">
        <v>1</v>
      </c>
      <c r="R32" s="134" t="s">
        <v>185</v>
      </c>
      <c r="S32" s="96" t="s">
        <v>162</v>
      </c>
      <c r="T32" s="112" t="s">
        <v>86</v>
      </c>
      <c r="U32" s="84" t="s">
        <v>104</v>
      </c>
      <c r="V32" s="136">
        <v>47</v>
      </c>
      <c r="W32" s="84" t="str">
        <f t="shared" si="2"/>
        <v>345UND4CT4LRCTSMITH-NON14.6nt244.896CTs - DEMO</v>
      </c>
      <c r="X32" s="84"/>
    </row>
    <row r="33" spans="1:24" s="138" customFormat="1" x14ac:dyDescent="0.25">
      <c r="A33" s="86" t="s">
        <v>147</v>
      </c>
      <c r="B33" s="87" t="s">
        <v>175</v>
      </c>
      <c r="C33" s="87" t="s">
        <v>214</v>
      </c>
      <c r="D33" s="86" t="s">
        <v>221</v>
      </c>
      <c r="E33" s="86" t="s">
        <v>218</v>
      </c>
      <c r="F33" s="91">
        <f>'Smith Data'!$D$58*0.6</f>
        <v>1914</v>
      </c>
      <c r="G33" s="86" t="s">
        <v>33</v>
      </c>
      <c r="H33" s="104">
        <f>'Smith Data'!$E$58</f>
        <v>-108.3695731319762</v>
      </c>
      <c r="I33" s="195">
        <f>'Smith Data'!$F$58*0.6</f>
        <v>-207419.36297460241</v>
      </c>
      <c r="J33" s="86" t="s">
        <v>149</v>
      </c>
      <c r="K33" s="86" t="s">
        <v>118</v>
      </c>
      <c r="L33" s="86" t="s">
        <v>64</v>
      </c>
      <c r="M33" s="86" t="s">
        <v>267</v>
      </c>
      <c r="N33" s="192">
        <f t="shared" si="0"/>
        <v>-108.3695731319762</v>
      </c>
      <c r="O33" s="193">
        <f t="shared" si="1"/>
        <v>-207419.36297460241</v>
      </c>
      <c r="P33" s="134" t="s">
        <v>75</v>
      </c>
      <c r="Q33" s="134">
        <v>1</v>
      </c>
      <c r="R33" s="134" t="s">
        <v>185</v>
      </c>
      <c r="S33" s="96" t="s">
        <v>166</v>
      </c>
      <c r="T33" s="112" t="s">
        <v>86</v>
      </c>
      <c r="U33" s="84" t="s">
        <v>104</v>
      </c>
      <c r="V33" s="136">
        <v>41</v>
      </c>
      <c r="W33" s="84" t="str">
        <f t="shared" si="2"/>
        <v>341UND3CC3MSCCSMITH-NON1914nt-108.369573131976CTs - FE Sales</v>
      </c>
      <c r="X33" s="84"/>
    </row>
    <row r="34" spans="1:24" s="138" customFormat="1" x14ac:dyDescent="0.25">
      <c r="A34" s="86" t="s">
        <v>154</v>
      </c>
      <c r="B34" s="87" t="s">
        <v>173</v>
      </c>
      <c r="C34" s="87" t="s">
        <v>214</v>
      </c>
      <c r="D34" s="86" t="s">
        <v>221</v>
      </c>
      <c r="E34" s="86" t="s">
        <v>218</v>
      </c>
      <c r="F34" s="91">
        <f>'Smith Data'!$D$58*0.25</f>
        <v>797.5</v>
      </c>
      <c r="G34" s="86" t="s">
        <v>33</v>
      </c>
      <c r="H34" s="104">
        <f>'Smith Data'!$E$58</f>
        <v>-108.3695731319762</v>
      </c>
      <c r="I34" s="195">
        <f>'Smith Data'!$F$58*0.25</f>
        <v>-86424.734572751011</v>
      </c>
      <c r="J34" s="86" t="s">
        <v>149</v>
      </c>
      <c r="K34" s="86" t="s">
        <v>118</v>
      </c>
      <c r="L34" s="86" t="s">
        <v>64</v>
      </c>
      <c r="M34" s="86" t="s">
        <v>267</v>
      </c>
      <c r="N34" s="192">
        <f t="shared" si="0"/>
        <v>-108.3695731319762</v>
      </c>
      <c r="O34" s="193">
        <f t="shared" si="1"/>
        <v>-86424.734572751011</v>
      </c>
      <c r="P34" s="134" t="s">
        <v>75</v>
      </c>
      <c r="Q34" s="134">
        <v>1</v>
      </c>
      <c r="R34" s="134" t="s">
        <v>185</v>
      </c>
      <c r="S34" s="96" t="s">
        <v>166</v>
      </c>
      <c r="T34" s="112" t="s">
        <v>86</v>
      </c>
      <c r="U34" s="84" t="s">
        <v>104</v>
      </c>
      <c r="V34" s="136">
        <v>41</v>
      </c>
      <c r="W34" s="84" t="str">
        <f t="shared" si="2"/>
        <v>343UND3CC3MSCCSMITH-NON797.5nt-108.369573131976CTs - FE Sales</v>
      </c>
      <c r="X34" s="84"/>
    </row>
    <row r="35" spans="1:24" s="138" customFormat="1" x14ac:dyDescent="0.25">
      <c r="A35" s="86" t="s">
        <v>156</v>
      </c>
      <c r="B35" s="87" t="s">
        <v>176</v>
      </c>
      <c r="C35" s="87" t="s">
        <v>214</v>
      </c>
      <c r="D35" s="86" t="s">
        <v>221</v>
      </c>
      <c r="E35" s="86" t="s">
        <v>218</v>
      </c>
      <c r="F35" s="91">
        <f>'Smith Data'!$D$58*0.15</f>
        <v>478.5</v>
      </c>
      <c r="G35" s="86" t="s">
        <v>33</v>
      </c>
      <c r="H35" s="104">
        <f>'Smith Data'!$E$58</f>
        <v>-108.3695731319762</v>
      </c>
      <c r="I35" s="195">
        <f>'Smith Data'!$F$58*0.15</f>
        <v>-51854.840743650602</v>
      </c>
      <c r="J35" s="86" t="s">
        <v>149</v>
      </c>
      <c r="K35" s="86" t="s">
        <v>118</v>
      </c>
      <c r="L35" s="86" t="s">
        <v>64</v>
      </c>
      <c r="M35" s="86" t="s">
        <v>267</v>
      </c>
      <c r="N35" s="192">
        <f t="shared" ref="N35:N66" si="3">H35</f>
        <v>-108.3695731319762</v>
      </c>
      <c r="O35" s="193">
        <f t="shared" ref="O35:O66" si="4">I35</f>
        <v>-51854.840743650602</v>
      </c>
      <c r="P35" s="134" t="s">
        <v>75</v>
      </c>
      <c r="Q35" s="134">
        <v>1</v>
      </c>
      <c r="R35" s="134" t="s">
        <v>185</v>
      </c>
      <c r="S35" s="96" t="s">
        <v>166</v>
      </c>
      <c r="T35" s="112" t="s">
        <v>86</v>
      </c>
      <c r="U35" s="84" t="s">
        <v>104</v>
      </c>
      <c r="V35" s="136">
        <v>41</v>
      </c>
      <c r="W35" s="84" t="str">
        <f t="shared" ref="W35:W66" si="5">A35&amp;C35&amp;D35&amp;E35&amp;F35&amp;G35&amp;H35&amp;J35</f>
        <v>344UND3CC3MSCCSMITH-NON478.5nt-108.369573131976CTs - FE Sales</v>
      </c>
      <c r="X35" s="84"/>
    </row>
    <row r="36" spans="1:24" x14ac:dyDescent="0.25">
      <c r="A36" s="86" t="s">
        <v>147</v>
      </c>
      <c r="B36" s="87" t="s">
        <v>175</v>
      </c>
      <c r="C36" s="87" t="s">
        <v>215</v>
      </c>
      <c r="D36" s="86" t="s">
        <v>224</v>
      </c>
      <c r="E36" s="86" t="s">
        <v>218</v>
      </c>
      <c r="F36" s="88">
        <f>'Smith Data'!$D$67*0.6</f>
        <v>175.2</v>
      </c>
      <c r="G36" s="86" t="s">
        <v>33</v>
      </c>
      <c r="H36" s="90">
        <f>'Smith Data'!$E$67</f>
        <v>-108.3695731319762</v>
      </c>
      <c r="I36" s="195">
        <f>'Smith Data'!$F$67*0.6</f>
        <v>-18986.349212722231</v>
      </c>
      <c r="J36" s="86" t="s">
        <v>149</v>
      </c>
      <c r="K36" s="86" t="s">
        <v>118</v>
      </c>
      <c r="L36" s="86" t="s">
        <v>64</v>
      </c>
      <c r="M36" s="86" t="s">
        <v>267</v>
      </c>
      <c r="N36" s="192">
        <f t="shared" si="3"/>
        <v>-108.3695731319762</v>
      </c>
      <c r="O36" s="193">
        <f t="shared" si="4"/>
        <v>-18986.349212722231</v>
      </c>
      <c r="P36" s="134" t="s">
        <v>75</v>
      </c>
      <c r="Q36" s="134">
        <v>1</v>
      </c>
      <c r="R36" s="134" t="s">
        <v>185</v>
      </c>
      <c r="S36" s="96" t="s">
        <v>166</v>
      </c>
      <c r="T36" s="112" t="s">
        <v>86</v>
      </c>
      <c r="U36" s="84" t="s">
        <v>104</v>
      </c>
      <c r="V36" s="136">
        <v>48</v>
      </c>
      <c r="W36" s="84" t="str">
        <f t="shared" si="5"/>
        <v>341UND4CT4MSCTSMITH-NON175.2nt-108.369573131976CTs - FE Sales</v>
      </c>
      <c r="X36" s="84"/>
    </row>
    <row r="37" spans="1:24" x14ac:dyDescent="0.25">
      <c r="A37" s="86" t="s">
        <v>154</v>
      </c>
      <c r="B37" s="87" t="s">
        <v>173</v>
      </c>
      <c r="C37" s="87" t="s">
        <v>215</v>
      </c>
      <c r="D37" s="86" t="s">
        <v>224</v>
      </c>
      <c r="E37" s="86" t="s">
        <v>218</v>
      </c>
      <c r="F37" s="88">
        <f>'Smith Data'!$D$67*0.25</f>
        <v>73</v>
      </c>
      <c r="G37" s="86" t="s">
        <v>33</v>
      </c>
      <c r="H37" s="90">
        <f>'Smith Data'!$E$67</f>
        <v>-108.3695731319762</v>
      </c>
      <c r="I37" s="195">
        <f>'Smith Data'!$F$67*0.25</f>
        <v>-7910.9788386342625</v>
      </c>
      <c r="J37" s="86" t="s">
        <v>149</v>
      </c>
      <c r="K37" s="86" t="s">
        <v>118</v>
      </c>
      <c r="L37" s="86" t="s">
        <v>64</v>
      </c>
      <c r="M37" s="86" t="s">
        <v>267</v>
      </c>
      <c r="N37" s="192">
        <f t="shared" si="3"/>
        <v>-108.3695731319762</v>
      </c>
      <c r="O37" s="193">
        <f t="shared" si="4"/>
        <v>-7910.9788386342625</v>
      </c>
      <c r="P37" s="134" t="s">
        <v>75</v>
      </c>
      <c r="Q37" s="134">
        <v>1</v>
      </c>
      <c r="R37" s="134" t="s">
        <v>185</v>
      </c>
      <c r="S37" s="96" t="s">
        <v>166</v>
      </c>
      <c r="T37" s="112" t="s">
        <v>86</v>
      </c>
      <c r="U37" s="84" t="s">
        <v>104</v>
      </c>
      <c r="V37" s="136">
        <v>48</v>
      </c>
      <c r="W37" s="84" t="str">
        <f t="shared" si="5"/>
        <v>343UND4CT4MSCTSMITH-NON73nt-108.369573131976CTs - FE Sales</v>
      </c>
      <c r="X37" s="84"/>
    </row>
    <row r="38" spans="1:24" x14ac:dyDescent="0.25">
      <c r="A38" s="86" t="s">
        <v>156</v>
      </c>
      <c r="B38" s="87" t="s">
        <v>176</v>
      </c>
      <c r="C38" s="87" t="s">
        <v>215</v>
      </c>
      <c r="D38" s="86" t="s">
        <v>224</v>
      </c>
      <c r="E38" s="86" t="s">
        <v>218</v>
      </c>
      <c r="F38" s="88">
        <f>'Smith Data'!$D$67*0.15</f>
        <v>43.8</v>
      </c>
      <c r="G38" s="86" t="s">
        <v>33</v>
      </c>
      <c r="H38" s="90">
        <f>'Smith Data'!$E$67</f>
        <v>-108.3695731319762</v>
      </c>
      <c r="I38" s="195">
        <f>'Smith Data'!$F$67*0.15</f>
        <v>-4746.5873031805577</v>
      </c>
      <c r="J38" s="86" t="s">
        <v>149</v>
      </c>
      <c r="K38" s="86" t="s">
        <v>118</v>
      </c>
      <c r="L38" s="86" t="s">
        <v>64</v>
      </c>
      <c r="M38" s="86" t="s">
        <v>267</v>
      </c>
      <c r="N38" s="192">
        <f t="shared" si="3"/>
        <v>-108.3695731319762</v>
      </c>
      <c r="O38" s="193">
        <f t="shared" si="4"/>
        <v>-4746.5873031805577</v>
      </c>
      <c r="P38" s="134" t="s">
        <v>75</v>
      </c>
      <c r="Q38" s="134">
        <v>1</v>
      </c>
      <c r="R38" s="134" t="s">
        <v>185</v>
      </c>
      <c r="S38" s="96" t="s">
        <v>166</v>
      </c>
      <c r="T38" s="112" t="s">
        <v>86</v>
      </c>
      <c r="U38" s="84" t="s">
        <v>104</v>
      </c>
      <c r="V38" s="136">
        <v>48</v>
      </c>
      <c r="W38" s="84" t="str">
        <f t="shared" si="5"/>
        <v>344UND4CT4MSCTSMITH-NON43.8nt-108.369573131976CTs - FE Sales</v>
      </c>
      <c r="X38" s="84"/>
    </row>
    <row r="39" spans="1:24" x14ac:dyDescent="0.25">
      <c r="A39" s="86" t="s">
        <v>157</v>
      </c>
      <c r="B39" s="87" t="s">
        <v>174</v>
      </c>
      <c r="C39" s="87" t="s">
        <v>214</v>
      </c>
      <c r="D39" s="86" t="s">
        <v>221</v>
      </c>
      <c r="E39" s="86" t="s">
        <v>218</v>
      </c>
      <c r="F39" s="91">
        <f>'Smith Data'!$D$62</f>
        <v>220114.41924200326</v>
      </c>
      <c r="G39" s="86" t="s">
        <v>36</v>
      </c>
      <c r="H39" s="90">
        <f>'Smith Data'!$E$62</f>
        <v>-0.31414430979039298</v>
      </c>
      <c r="I39" s="195">
        <f>'Smith Data'!$F$62</f>
        <v>-69147.692307692312</v>
      </c>
      <c r="J39" s="86" t="s">
        <v>158</v>
      </c>
      <c r="K39" s="86" t="s">
        <v>133</v>
      </c>
      <c r="L39" s="86" t="s">
        <v>143</v>
      </c>
      <c r="M39" s="86" t="s">
        <v>267</v>
      </c>
      <c r="N39" s="192">
        <f t="shared" si="3"/>
        <v>-0.31414430979039298</v>
      </c>
      <c r="O39" s="193">
        <f t="shared" si="4"/>
        <v>-69147.692307692312</v>
      </c>
      <c r="P39" s="134" t="s">
        <v>75</v>
      </c>
      <c r="Q39" s="134">
        <v>1</v>
      </c>
      <c r="R39" s="134" t="s">
        <v>185</v>
      </c>
      <c r="S39" s="96" t="s">
        <v>166</v>
      </c>
      <c r="T39" s="112" t="s">
        <v>86</v>
      </c>
      <c r="U39" s="84" t="s">
        <v>104</v>
      </c>
      <c r="V39" s="136">
        <v>45</v>
      </c>
      <c r="W39" s="84" t="str">
        <f t="shared" si="5"/>
        <v>345UND3CC3MSCCSMITH-NON220114.419242003lbs-0.314144309790393CTs Transformers - CU Sales</v>
      </c>
      <c r="X39" s="84"/>
    </row>
    <row r="40" spans="1:24" x14ac:dyDescent="0.25">
      <c r="A40" s="86" t="s">
        <v>157</v>
      </c>
      <c r="B40" s="87" t="s">
        <v>174</v>
      </c>
      <c r="C40" s="87" t="s">
        <v>215</v>
      </c>
      <c r="D40" s="86" t="s">
        <v>224</v>
      </c>
      <c r="E40" s="86" t="s">
        <v>218</v>
      </c>
      <c r="F40" s="131">
        <f>'Smith Data'!$D$71</f>
        <v>51360.031156467427</v>
      </c>
      <c r="G40" s="86" t="s">
        <v>36</v>
      </c>
      <c r="H40" s="90">
        <f>'Smith Data'!$E$71</f>
        <v>-0.31414430979039298</v>
      </c>
      <c r="I40" s="195">
        <f>'Smith Data'!$F$71</f>
        <v>-16134.461538461539</v>
      </c>
      <c r="J40" s="86" t="s">
        <v>158</v>
      </c>
      <c r="K40" s="86" t="s">
        <v>133</v>
      </c>
      <c r="L40" s="86" t="s">
        <v>143</v>
      </c>
      <c r="M40" s="86" t="s">
        <v>267</v>
      </c>
      <c r="N40" s="192">
        <f t="shared" si="3"/>
        <v>-0.31414430979039298</v>
      </c>
      <c r="O40" s="193">
        <f t="shared" si="4"/>
        <v>-16134.461538461539</v>
      </c>
      <c r="P40" s="134" t="s">
        <v>75</v>
      </c>
      <c r="Q40" s="134">
        <v>1</v>
      </c>
      <c r="R40" s="134" t="s">
        <v>185</v>
      </c>
      <c r="S40" s="96" t="s">
        <v>166</v>
      </c>
      <c r="T40" s="112" t="s">
        <v>86</v>
      </c>
      <c r="U40" s="84" t="s">
        <v>104</v>
      </c>
      <c r="V40" s="136">
        <v>52</v>
      </c>
      <c r="W40" s="84" t="str">
        <f t="shared" si="5"/>
        <v>345UND4CT4MSCTSMITH-NON51360.0311564674lbs-0.314144309790393CTs Transformers - CU Sales</v>
      </c>
      <c r="X40" s="84"/>
    </row>
    <row r="41" spans="1:24" x14ac:dyDescent="0.25">
      <c r="A41" s="86" t="s">
        <v>157</v>
      </c>
      <c r="B41" s="87" t="s">
        <v>174</v>
      </c>
      <c r="C41" s="87" t="s">
        <v>214</v>
      </c>
      <c r="D41" s="86" t="s">
        <v>220</v>
      </c>
      <c r="E41" s="86" t="s">
        <v>218</v>
      </c>
      <c r="F41" s="91">
        <f>'Smith Data'!$D$61</f>
        <v>150</v>
      </c>
      <c r="G41" s="86" t="s">
        <v>33</v>
      </c>
      <c r="H41" s="90">
        <f>'Smith Data'!$E$61</f>
        <v>244.89599999999999</v>
      </c>
      <c r="I41" s="195">
        <f>'Smith Data'!$F$61</f>
        <v>36734.400000000001</v>
      </c>
      <c r="J41" s="86" t="s">
        <v>164</v>
      </c>
      <c r="K41" s="86"/>
      <c r="L41" s="86" t="s">
        <v>143</v>
      </c>
      <c r="M41" s="86" t="s">
        <v>158</v>
      </c>
      <c r="N41" s="192">
        <f t="shared" si="3"/>
        <v>244.89599999999999</v>
      </c>
      <c r="O41" s="193">
        <f t="shared" si="4"/>
        <v>36734.400000000001</v>
      </c>
      <c r="P41" s="134" t="s">
        <v>75</v>
      </c>
      <c r="Q41" s="134">
        <v>1</v>
      </c>
      <c r="R41" s="134" t="s">
        <v>185</v>
      </c>
      <c r="S41" s="96" t="s">
        <v>162</v>
      </c>
      <c r="T41" s="112" t="s">
        <v>86</v>
      </c>
      <c r="U41" s="84" t="s">
        <v>104</v>
      </c>
      <c r="V41" s="136">
        <v>44</v>
      </c>
      <c r="W41" s="84" t="str">
        <f t="shared" si="5"/>
        <v>345UND3CC3LRCCSMITH-NON150nt244.896CTs Transformers - Demo</v>
      </c>
      <c r="X41" s="84"/>
    </row>
    <row r="42" spans="1:24" s="77" customFormat="1" x14ac:dyDescent="0.25">
      <c r="A42" s="86" t="s">
        <v>157</v>
      </c>
      <c r="B42" s="87" t="s">
        <v>174</v>
      </c>
      <c r="C42" s="87" t="s">
        <v>215</v>
      </c>
      <c r="D42" s="86" t="s">
        <v>223</v>
      </c>
      <c r="E42" s="86" t="s">
        <v>218</v>
      </c>
      <c r="F42" s="91">
        <f>'Smith Data'!$D$70</f>
        <v>35</v>
      </c>
      <c r="G42" s="86" t="s">
        <v>33</v>
      </c>
      <c r="H42" s="90">
        <f>'Smith Data'!$E$70</f>
        <v>244.89599999999999</v>
      </c>
      <c r="I42" s="195">
        <f>'Smith Data'!$F$70</f>
        <v>8571.3599999999988</v>
      </c>
      <c r="J42" s="86" t="s">
        <v>164</v>
      </c>
      <c r="K42" s="86"/>
      <c r="L42" s="86" t="s">
        <v>143</v>
      </c>
      <c r="M42" s="86" t="s">
        <v>158</v>
      </c>
      <c r="N42" s="192">
        <f t="shared" si="3"/>
        <v>244.89599999999999</v>
      </c>
      <c r="O42" s="193">
        <f t="shared" si="4"/>
        <v>8571.3599999999988</v>
      </c>
      <c r="P42" s="134" t="s">
        <v>75</v>
      </c>
      <c r="Q42" s="134">
        <v>1</v>
      </c>
      <c r="R42" s="134" t="s">
        <v>185</v>
      </c>
      <c r="S42" s="96" t="s">
        <v>162</v>
      </c>
      <c r="T42" s="112" t="s">
        <v>86</v>
      </c>
      <c r="U42" s="84" t="s">
        <v>104</v>
      </c>
      <c r="V42" s="136">
        <v>51</v>
      </c>
      <c r="W42" s="84" t="str">
        <f t="shared" si="5"/>
        <v>345UND4CT4LRCTSMITH-NON35nt244.896CTs Transformers - Demo</v>
      </c>
      <c r="X42" s="84"/>
    </row>
    <row r="43" spans="1:24" s="77" customFormat="1" x14ac:dyDescent="0.25">
      <c r="A43" s="86" t="s">
        <v>157</v>
      </c>
      <c r="B43" s="87" t="s">
        <v>174</v>
      </c>
      <c r="C43" s="87" t="s">
        <v>214</v>
      </c>
      <c r="D43" s="86" t="s">
        <v>221</v>
      </c>
      <c r="E43" s="86" t="s">
        <v>218</v>
      </c>
      <c r="F43" s="91">
        <f>'Smith Data'!$D$63</f>
        <v>150</v>
      </c>
      <c r="G43" s="86" t="s">
        <v>33</v>
      </c>
      <c r="H43" s="90">
        <f>'Smith Data'!$E$63</f>
        <v>-108.3695731319762</v>
      </c>
      <c r="I43" s="195">
        <f>'Smith Data'!$F$63</f>
        <v>-16255.43596979643</v>
      </c>
      <c r="J43" s="86" t="s">
        <v>165</v>
      </c>
      <c r="K43" s="86" t="s">
        <v>118</v>
      </c>
      <c r="L43" s="86" t="s">
        <v>143</v>
      </c>
      <c r="M43" s="86" t="s">
        <v>267</v>
      </c>
      <c r="N43" s="192">
        <f t="shared" si="3"/>
        <v>-108.3695731319762</v>
      </c>
      <c r="O43" s="193">
        <f t="shared" si="4"/>
        <v>-16255.43596979643</v>
      </c>
      <c r="P43" s="134" t="s">
        <v>75</v>
      </c>
      <c r="Q43" s="134">
        <v>1</v>
      </c>
      <c r="R43" s="134" t="s">
        <v>185</v>
      </c>
      <c r="S43" s="96" t="s">
        <v>166</v>
      </c>
      <c r="T43" s="112" t="s">
        <v>86</v>
      </c>
      <c r="U43" s="84" t="s">
        <v>104</v>
      </c>
      <c r="V43" s="136">
        <v>46</v>
      </c>
      <c r="W43" s="84" t="str">
        <f t="shared" si="5"/>
        <v>345UND3CC3MSCCSMITH-NON150nt-108.369573131976CTs Transformers - FE Sales</v>
      </c>
      <c r="X43" s="84"/>
    </row>
    <row r="44" spans="1:24" s="77" customFormat="1" x14ac:dyDescent="0.25">
      <c r="A44" s="86" t="s">
        <v>157</v>
      </c>
      <c r="B44" s="87" t="s">
        <v>174</v>
      </c>
      <c r="C44" s="87" t="s">
        <v>215</v>
      </c>
      <c r="D44" s="86" t="s">
        <v>224</v>
      </c>
      <c r="E44" s="86" t="s">
        <v>218</v>
      </c>
      <c r="F44" s="91">
        <f>'Smith Data'!$D$72</f>
        <v>35</v>
      </c>
      <c r="G44" s="86" t="s">
        <v>33</v>
      </c>
      <c r="H44" s="90">
        <f>'Smith Data'!$E$72</f>
        <v>-108.3695731319762</v>
      </c>
      <c r="I44" s="195">
        <f>'Smith Data'!$F$72</f>
        <v>-3792.9350596191671</v>
      </c>
      <c r="J44" s="86" t="s">
        <v>165</v>
      </c>
      <c r="K44" s="86" t="s">
        <v>118</v>
      </c>
      <c r="L44" s="86" t="s">
        <v>143</v>
      </c>
      <c r="M44" s="86" t="s">
        <v>267</v>
      </c>
      <c r="N44" s="192">
        <f t="shared" si="3"/>
        <v>-108.3695731319762</v>
      </c>
      <c r="O44" s="193">
        <f t="shared" si="4"/>
        <v>-3792.9350596191671</v>
      </c>
      <c r="P44" s="134" t="s">
        <v>75</v>
      </c>
      <c r="Q44" s="134">
        <v>1</v>
      </c>
      <c r="R44" s="134" t="s">
        <v>185</v>
      </c>
      <c r="S44" s="96" t="s">
        <v>166</v>
      </c>
      <c r="T44" s="112" t="s">
        <v>86</v>
      </c>
      <c r="U44" s="84" t="s">
        <v>104</v>
      </c>
      <c r="V44" s="136">
        <v>53</v>
      </c>
      <c r="W44" s="84" t="str">
        <f t="shared" si="5"/>
        <v>345UND4CT4MSCTSMITH-NON35nt-108.369573131976CTs Transformers - FE Sales</v>
      </c>
      <c r="X44" s="84"/>
    </row>
    <row r="45" spans="1:24" x14ac:dyDescent="0.25">
      <c r="A45" s="86" t="s">
        <v>90</v>
      </c>
      <c r="B45" s="87" t="s">
        <v>170</v>
      </c>
      <c r="C45" s="87" t="s">
        <v>73</v>
      </c>
      <c r="D45" s="86" t="s">
        <v>74</v>
      </c>
      <c r="E45" s="86" t="s">
        <v>218</v>
      </c>
      <c r="F45" s="88">
        <v>1</v>
      </c>
      <c r="G45" s="86" t="s">
        <v>21</v>
      </c>
      <c r="H45" s="90">
        <f>'Smith Data'!$E$5</f>
        <v>50000</v>
      </c>
      <c r="I45" s="195">
        <f>'Smith Data'!$F$5</f>
        <v>50000</v>
      </c>
      <c r="J45" s="86" t="s">
        <v>20</v>
      </c>
      <c r="K45" s="86" t="s">
        <v>64</v>
      </c>
      <c r="L45" s="86" t="s">
        <v>64</v>
      </c>
      <c r="M45" s="86" t="s">
        <v>20</v>
      </c>
      <c r="N45" s="192">
        <f t="shared" si="3"/>
        <v>50000</v>
      </c>
      <c r="O45" s="193">
        <f t="shared" si="4"/>
        <v>50000</v>
      </c>
      <c r="P45" s="134" t="s">
        <v>75</v>
      </c>
      <c r="Q45" s="134">
        <v>1</v>
      </c>
      <c r="R45" s="134" t="s">
        <v>185</v>
      </c>
      <c r="S45" s="96" t="s">
        <v>162</v>
      </c>
      <c r="T45" s="112" t="s">
        <v>86</v>
      </c>
      <c r="U45" s="84"/>
      <c r="V45" s="136">
        <v>1</v>
      </c>
      <c r="W45" s="84" t="str">
        <f t="shared" si="5"/>
        <v>3080241CCLRSMITH-NON1ls50000Design bulkhead for intake and discharge tunnel</v>
      </c>
      <c r="X45" s="84"/>
    </row>
    <row r="46" spans="1:24" x14ac:dyDescent="0.25">
      <c r="A46" s="86" t="s">
        <v>129</v>
      </c>
      <c r="B46" s="87" t="s">
        <v>177</v>
      </c>
      <c r="C46" s="87">
        <v>1</v>
      </c>
      <c r="D46" s="86" t="s">
        <v>109</v>
      </c>
      <c r="E46" s="86" t="s">
        <v>218</v>
      </c>
      <c r="F46" s="91">
        <f>'Smith Data'!$D$83*0.42</f>
        <v>486.11111111111109</v>
      </c>
      <c r="G46" s="86" t="s">
        <v>33</v>
      </c>
      <c r="H46" s="90">
        <f>'Smith Data'!$E$83</f>
        <v>66.325999999999993</v>
      </c>
      <c r="I46" s="195">
        <f>'Smith Data'!$F$83*0.42</f>
        <v>31597.222222222219</v>
      </c>
      <c r="J46" s="86" t="s">
        <v>51</v>
      </c>
      <c r="K46" s="86" t="s">
        <v>64</v>
      </c>
      <c r="L46" s="86" t="s">
        <v>64</v>
      </c>
      <c r="M46" s="86" t="s">
        <v>51</v>
      </c>
      <c r="N46" s="192">
        <f t="shared" si="3"/>
        <v>66.325999999999993</v>
      </c>
      <c r="O46" s="193">
        <f t="shared" si="4"/>
        <v>31597.222222222219</v>
      </c>
      <c r="P46" s="134" t="s">
        <v>75</v>
      </c>
      <c r="Q46" s="134">
        <v>1</v>
      </c>
      <c r="R46" s="134" t="s">
        <v>185</v>
      </c>
      <c r="S46" s="96" t="s">
        <v>167</v>
      </c>
      <c r="T46" s="112" t="s">
        <v>86</v>
      </c>
      <c r="U46" s="84" t="s">
        <v>104</v>
      </c>
      <c r="V46" s="136">
        <v>57</v>
      </c>
      <c r="W46" s="84" t="str">
        <f t="shared" si="5"/>
        <v>312UND11LDSMITH-NON486.111111111111nt66.326Dispose of Refractory in Subtitle D Landfill</v>
      </c>
      <c r="X46" s="84"/>
    </row>
    <row r="47" spans="1:24" x14ac:dyDescent="0.25">
      <c r="A47" s="86" t="s">
        <v>129</v>
      </c>
      <c r="B47" s="87" t="s">
        <v>177</v>
      </c>
      <c r="C47" s="87">
        <v>2</v>
      </c>
      <c r="D47" s="86" t="s">
        <v>111</v>
      </c>
      <c r="E47" s="86" t="s">
        <v>218</v>
      </c>
      <c r="F47" s="91">
        <f>'Smith Data'!$D$83*0.47</f>
        <v>543.98148148148141</v>
      </c>
      <c r="G47" s="86" t="s">
        <v>33</v>
      </c>
      <c r="H47" s="90">
        <f>'Smith Data'!$E$83</f>
        <v>66.325999999999993</v>
      </c>
      <c r="I47" s="195">
        <f>'Smith Data'!$F$83*0.47</f>
        <v>35358.796296296292</v>
      </c>
      <c r="J47" s="86" t="s">
        <v>51</v>
      </c>
      <c r="K47" s="86" t="s">
        <v>64</v>
      </c>
      <c r="L47" s="86" t="s">
        <v>64</v>
      </c>
      <c r="M47" s="86" t="s">
        <v>51</v>
      </c>
      <c r="N47" s="192">
        <f t="shared" si="3"/>
        <v>66.325999999999993</v>
      </c>
      <c r="O47" s="193">
        <f t="shared" si="4"/>
        <v>35358.796296296292</v>
      </c>
      <c r="P47" s="134" t="s">
        <v>75</v>
      </c>
      <c r="Q47" s="134">
        <v>1</v>
      </c>
      <c r="R47" s="134" t="s">
        <v>185</v>
      </c>
      <c r="S47" s="96" t="s">
        <v>167</v>
      </c>
      <c r="T47" s="112" t="s">
        <v>86</v>
      </c>
      <c r="U47" s="84" t="s">
        <v>104</v>
      </c>
      <c r="V47" s="136">
        <v>57</v>
      </c>
      <c r="W47" s="84" t="str">
        <f t="shared" si="5"/>
        <v>312UND22LDSMITH-NON543.981481481481nt66.326Dispose of Refractory in Subtitle D Landfill</v>
      </c>
      <c r="X47" s="84"/>
    </row>
    <row r="48" spans="1:24" x14ac:dyDescent="0.25">
      <c r="A48" s="86" t="s">
        <v>129</v>
      </c>
      <c r="B48" s="87" t="s">
        <v>177</v>
      </c>
      <c r="C48" s="87" t="s">
        <v>214</v>
      </c>
      <c r="D48" s="86" t="s">
        <v>219</v>
      </c>
      <c r="E48" s="86" t="s">
        <v>218</v>
      </c>
      <c r="F48" s="91">
        <f>'Smith Data'!$D$83*0.1</f>
        <v>115.74074074074075</v>
      </c>
      <c r="G48" s="86" t="s">
        <v>33</v>
      </c>
      <c r="H48" s="90">
        <f>'Smith Data'!$E$83</f>
        <v>66.325999999999993</v>
      </c>
      <c r="I48" s="195">
        <f>'Smith Data'!$F$83*0.1</f>
        <v>7523.1481481481478</v>
      </c>
      <c r="J48" s="86" t="s">
        <v>51</v>
      </c>
      <c r="K48" s="86" t="s">
        <v>64</v>
      </c>
      <c r="L48" s="86" t="s">
        <v>64</v>
      </c>
      <c r="M48" s="86" t="s">
        <v>51</v>
      </c>
      <c r="N48" s="192">
        <f t="shared" si="3"/>
        <v>66.325999999999993</v>
      </c>
      <c r="O48" s="193">
        <f t="shared" si="4"/>
        <v>7523.1481481481478</v>
      </c>
      <c r="P48" s="134" t="s">
        <v>75</v>
      </c>
      <c r="Q48" s="134">
        <v>1</v>
      </c>
      <c r="R48" s="134" t="s">
        <v>185</v>
      </c>
      <c r="S48" s="96" t="s">
        <v>167</v>
      </c>
      <c r="T48" s="112" t="s">
        <v>86</v>
      </c>
      <c r="U48" s="84" t="s">
        <v>104</v>
      </c>
      <c r="V48" s="136">
        <v>57</v>
      </c>
      <c r="W48" s="84" t="str">
        <f t="shared" si="5"/>
        <v>312UND3CC3LDCCSMITH-NON115.740740740741nt66.326Dispose of Refractory in Subtitle D Landfill</v>
      </c>
      <c r="X48" s="84"/>
    </row>
    <row r="49" spans="1:24" s="77" customFormat="1" x14ac:dyDescent="0.25">
      <c r="A49" s="86" t="s">
        <v>129</v>
      </c>
      <c r="B49" s="87" t="s">
        <v>177</v>
      </c>
      <c r="C49" s="87" t="s">
        <v>215</v>
      </c>
      <c r="D49" s="86" t="s">
        <v>222</v>
      </c>
      <c r="E49" s="86" t="s">
        <v>218</v>
      </c>
      <c r="F49" s="91">
        <f>'Smith Data'!$D$83*0.01</f>
        <v>11.574074074074074</v>
      </c>
      <c r="G49" s="86" t="s">
        <v>33</v>
      </c>
      <c r="H49" s="90">
        <f>'Smith Data'!$E$83</f>
        <v>66.325999999999993</v>
      </c>
      <c r="I49" s="195">
        <f>'Smith Data'!$F$83*0.01</f>
        <v>752.31481481481478</v>
      </c>
      <c r="J49" s="86" t="s">
        <v>51</v>
      </c>
      <c r="K49" s="86" t="s">
        <v>64</v>
      </c>
      <c r="L49" s="86" t="s">
        <v>64</v>
      </c>
      <c r="M49" s="86" t="s">
        <v>51</v>
      </c>
      <c r="N49" s="192">
        <f t="shared" si="3"/>
        <v>66.325999999999993</v>
      </c>
      <c r="O49" s="193">
        <f t="shared" si="4"/>
        <v>752.31481481481478</v>
      </c>
      <c r="P49" s="134" t="s">
        <v>75</v>
      </c>
      <c r="Q49" s="134">
        <v>1</v>
      </c>
      <c r="R49" s="134" t="s">
        <v>185</v>
      </c>
      <c r="S49" s="96" t="s">
        <v>167</v>
      </c>
      <c r="T49" s="112" t="s">
        <v>86</v>
      </c>
      <c r="U49" s="84" t="s">
        <v>104</v>
      </c>
      <c r="V49" s="136">
        <v>57</v>
      </c>
      <c r="W49" s="84" t="str">
        <f t="shared" si="5"/>
        <v>312UND4CT4LDCTSMITH-NON11.5740740740741nt66.326Dispose of Refractory in Subtitle D Landfill</v>
      </c>
      <c r="X49" s="84"/>
    </row>
    <row r="50" spans="1:24" s="77" customFormat="1" x14ac:dyDescent="0.25">
      <c r="A50" s="86" t="s">
        <v>103</v>
      </c>
      <c r="B50" s="87" t="s">
        <v>169</v>
      </c>
      <c r="C50" s="87" t="s">
        <v>73</v>
      </c>
      <c r="D50" s="86" t="s">
        <v>74</v>
      </c>
      <c r="E50" s="86" t="s">
        <v>218</v>
      </c>
      <c r="F50" s="91">
        <f>'Smith Data'!$D$15</f>
        <v>2500000</v>
      </c>
      <c r="G50" s="86" t="s">
        <v>27</v>
      </c>
      <c r="H50" s="90">
        <f>'Smith Data'!$E$15</f>
        <v>0.25509999999999999</v>
      </c>
      <c r="I50" s="195">
        <f>'Smith Data'!$F$15</f>
        <v>625000</v>
      </c>
      <c r="J50" s="86" t="s">
        <v>31</v>
      </c>
      <c r="K50" s="86" t="s">
        <v>64</v>
      </c>
      <c r="L50" s="86" t="s">
        <v>64</v>
      </c>
      <c r="M50" s="86" t="s">
        <v>31</v>
      </c>
      <c r="N50" s="192">
        <f t="shared" si="3"/>
        <v>0.25509999999999999</v>
      </c>
      <c r="O50" s="193">
        <f t="shared" si="4"/>
        <v>625000</v>
      </c>
      <c r="P50" s="134" t="s">
        <v>75</v>
      </c>
      <c r="Q50" s="134">
        <v>1</v>
      </c>
      <c r="R50" s="134" t="s">
        <v>185</v>
      </c>
      <c r="S50" s="96" t="s">
        <v>162</v>
      </c>
      <c r="T50" s="112" t="s">
        <v>86</v>
      </c>
      <c r="U50" s="84" t="s">
        <v>104</v>
      </c>
      <c r="V50" s="136">
        <v>9</v>
      </c>
      <c r="W50" s="84" t="str">
        <f t="shared" si="5"/>
        <v>3110001LCCCLRSMITH-NON2500000sf0.2551Grade and Seeding</v>
      </c>
      <c r="X50" s="84"/>
    </row>
    <row r="51" spans="1:24" s="77" customFormat="1" x14ac:dyDescent="0.25">
      <c r="A51" s="86" t="s">
        <v>138</v>
      </c>
      <c r="B51" s="87" t="s">
        <v>178</v>
      </c>
      <c r="C51" s="87" t="s">
        <v>73</v>
      </c>
      <c r="D51" s="86" t="s">
        <v>74</v>
      </c>
      <c r="E51" s="86" t="s">
        <v>218</v>
      </c>
      <c r="F51" s="91">
        <f>'Smith Data'!$D$13</f>
        <v>1</v>
      </c>
      <c r="G51" s="86" t="s">
        <v>21</v>
      </c>
      <c r="H51" s="90">
        <f>'Smith Data'!$E$13</f>
        <v>150000</v>
      </c>
      <c r="I51" s="195">
        <f>'Smith Data'!$F$13</f>
        <v>150000</v>
      </c>
      <c r="J51" s="86" t="s">
        <v>29</v>
      </c>
      <c r="K51" s="86" t="s">
        <v>64</v>
      </c>
      <c r="L51" s="86" t="s">
        <v>64</v>
      </c>
      <c r="M51" s="86" t="s">
        <v>29</v>
      </c>
      <c r="N51" s="192">
        <f t="shared" si="3"/>
        <v>150000</v>
      </c>
      <c r="O51" s="193">
        <f t="shared" si="4"/>
        <v>150000</v>
      </c>
      <c r="P51" s="134" t="s">
        <v>75</v>
      </c>
      <c r="Q51" s="134">
        <v>1</v>
      </c>
      <c r="R51" s="134" t="s">
        <v>185</v>
      </c>
      <c r="S51" s="96" t="s">
        <v>162</v>
      </c>
      <c r="T51" s="112" t="s">
        <v>86</v>
      </c>
      <c r="U51" s="84" t="s">
        <v>104</v>
      </c>
      <c r="V51" s="136">
        <v>7</v>
      </c>
      <c r="W51" s="84" t="str">
        <f t="shared" si="5"/>
        <v>314052102CCLRSMITH-NON1ls150000Install Bulkhead in Intake &amp; Discharge Tunnel</v>
      </c>
      <c r="X51" s="84"/>
    </row>
    <row r="52" spans="1:24" x14ac:dyDescent="0.25">
      <c r="A52" s="86" t="s">
        <v>89</v>
      </c>
      <c r="B52" s="87" t="s">
        <v>172</v>
      </c>
      <c r="C52" s="87" t="s">
        <v>73</v>
      </c>
      <c r="D52" s="86" t="s">
        <v>74</v>
      </c>
      <c r="E52" s="86" t="s">
        <v>218</v>
      </c>
      <c r="F52" s="88">
        <v>1</v>
      </c>
      <c r="G52" s="86" t="s">
        <v>21</v>
      </c>
      <c r="H52" s="90">
        <f>'Smith Data'!$E$14</f>
        <v>150000</v>
      </c>
      <c r="I52" s="195">
        <f>'Smith Data'!$F$14</f>
        <v>150000</v>
      </c>
      <c r="J52" s="86" t="s">
        <v>183</v>
      </c>
      <c r="K52" s="86" t="s">
        <v>64</v>
      </c>
      <c r="L52" s="86" t="s">
        <v>64</v>
      </c>
      <c r="M52" s="86" t="s">
        <v>30</v>
      </c>
      <c r="N52" s="192">
        <f t="shared" si="3"/>
        <v>150000</v>
      </c>
      <c r="O52" s="193">
        <f t="shared" si="4"/>
        <v>150000</v>
      </c>
      <c r="P52" s="134" t="s">
        <v>75</v>
      </c>
      <c r="Q52" s="134">
        <v>1</v>
      </c>
      <c r="R52" s="134" t="s">
        <v>185</v>
      </c>
      <c r="S52" s="96" t="s">
        <v>162</v>
      </c>
      <c r="T52" s="112" t="s">
        <v>86</v>
      </c>
      <c r="U52" s="84"/>
      <c r="V52" s="136">
        <v>8</v>
      </c>
      <c r="W52" s="84" t="str">
        <f t="shared" si="5"/>
        <v>307UNDCCLRSMITH-NON1ls150000Install Electrical for Decommissioning Work</v>
      </c>
      <c r="X52" s="84"/>
    </row>
    <row r="53" spans="1:24" x14ac:dyDescent="0.25">
      <c r="A53" s="86" t="s">
        <v>125</v>
      </c>
      <c r="B53" s="87" t="s">
        <v>177</v>
      </c>
      <c r="C53" s="87">
        <v>1</v>
      </c>
      <c r="D53" s="86" t="s">
        <v>109</v>
      </c>
      <c r="E53" s="86" t="s">
        <v>226</v>
      </c>
      <c r="F53" s="91">
        <f>630/2</f>
        <v>315</v>
      </c>
      <c r="G53" s="86" t="s">
        <v>126</v>
      </c>
      <c r="H53" s="194">
        <f>I53/F53</f>
        <v>190.16825396825396</v>
      </c>
      <c r="I53" s="199">
        <f>119806/2</f>
        <v>59903</v>
      </c>
      <c r="J53" s="86" t="s">
        <v>225</v>
      </c>
      <c r="K53" s="86" t="s">
        <v>64</v>
      </c>
      <c r="L53" s="86" t="s">
        <v>64</v>
      </c>
      <c r="M53" s="86" t="s">
        <v>127</v>
      </c>
      <c r="N53" s="192">
        <f t="shared" si="3"/>
        <v>190.16825396825396</v>
      </c>
      <c r="O53" s="193">
        <f t="shared" si="4"/>
        <v>59903</v>
      </c>
      <c r="P53" s="134" t="s">
        <v>76</v>
      </c>
      <c r="Q53" s="134">
        <v>1</v>
      </c>
      <c r="R53" s="134" t="s">
        <v>185</v>
      </c>
      <c r="S53" s="96" t="s">
        <v>167</v>
      </c>
      <c r="T53" s="84" t="s">
        <v>67</v>
      </c>
      <c r="U53" s="84" t="s">
        <v>104</v>
      </c>
      <c r="W53" s="84" t="str">
        <f t="shared" si="5"/>
        <v>3120000AA11LDSMITH-ASB315TN190.168253968254INSULATION (ASBESTOS)</v>
      </c>
      <c r="X53" s="84"/>
    </row>
    <row r="54" spans="1:24" x14ac:dyDescent="0.25">
      <c r="A54" s="86" t="s">
        <v>125</v>
      </c>
      <c r="B54" s="87" t="s">
        <v>177</v>
      </c>
      <c r="C54" s="87">
        <v>1</v>
      </c>
      <c r="D54" s="86" t="s">
        <v>68</v>
      </c>
      <c r="E54" s="86" t="s">
        <v>226</v>
      </c>
      <c r="F54" s="142">
        <f>252182/2</f>
        <v>126091</v>
      </c>
      <c r="G54" s="86" t="s">
        <v>128</v>
      </c>
      <c r="H54" s="200">
        <f>I54/F54</f>
        <v>8.3532607402590191</v>
      </c>
      <c r="I54" s="199">
        <f>(2226348-119806)/2</f>
        <v>1053271</v>
      </c>
      <c r="J54" s="86" t="s">
        <v>225</v>
      </c>
      <c r="K54" s="86" t="s">
        <v>64</v>
      </c>
      <c r="L54" s="86" t="s">
        <v>64</v>
      </c>
      <c r="M54" s="86" t="s">
        <v>127</v>
      </c>
      <c r="N54" s="192">
        <f t="shared" si="3"/>
        <v>8.3532607402590191</v>
      </c>
      <c r="O54" s="193">
        <f t="shared" si="4"/>
        <v>1053271</v>
      </c>
      <c r="P54" s="134" t="s">
        <v>76</v>
      </c>
      <c r="Q54" s="134">
        <v>1</v>
      </c>
      <c r="R54" s="134" t="s">
        <v>185</v>
      </c>
      <c r="S54" s="96" t="s">
        <v>162</v>
      </c>
      <c r="T54" s="84" t="s">
        <v>67</v>
      </c>
      <c r="U54" s="84" t="s">
        <v>104</v>
      </c>
      <c r="W54" s="84" t="str">
        <f t="shared" si="5"/>
        <v>3120000AA11LRSMITH-ASB126091SF8.35326074025902INSULATION (ASBESTOS)</v>
      </c>
      <c r="X54" s="84"/>
    </row>
    <row r="55" spans="1:24" x14ac:dyDescent="0.25">
      <c r="A55" s="86" t="s">
        <v>125</v>
      </c>
      <c r="B55" s="87" t="s">
        <v>177</v>
      </c>
      <c r="C55" s="87">
        <v>2</v>
      </c>
      <c r="D55" s="86" t="s">
        <v>111</v>
      </c>
      <c r="E55" s="86" t="s">
        <v>226</v>
      </c>
      <c r="F55" s="91">
        <f>630/2</f>
        <v>315</v>
      </c>
      <c r="G55" s="86" t="s">
        <v>126</v>
      </c>
      <c r="H55" s="194">
        <f>I55/F55</f>
        <v>190.16825396825396</v>
      </c>
      <c r="I55" s="199">
        <f>119806/2</f>
        <v>59903</v>
      </c>
      <c r="J55" s="86" t="s">
        <v>225</v>
      </c>
      <c r="K55" s="86" t="s">
        <v>64</v>
      </c>
      <c r="L55" s="86" t="s">
        <v>64</v>
      </c>
      <c r="M55" s="86" t="s">
        <v>127</v>
      </c>
      <c r="N55" s="192">
        <f t="shared" si="3"/>
        <v>190.16825396825396</v>
      </c>
      <c r="O55" s="193">
        <f t="shared" si="4"/>
        <v>59903</v>
      </c>
      <c r="P55" s="134" t="s">
        <v>76</v>
      </c>
      <c r="Q55" s="134">
        <v>1</v>
      </c>
      <c r="R55" s="134" t="s">
        <v>185</v>
      </c>
      <c r="S55" s="96" t="s">
        <v>167</v>
      </c>
      <c r="T55" s="84" t="s">
        <v>67</v>
      </c>
      <c r="U55" s="84" t="s">
        <v>104</v>
      </c>
      <c r="W55" s="84" t="str">
        <f t="shared" si="5"/>
        <v>3120000AA22LDSMITH-ASB315TN190.168253968254INSULATION (ASBESTOS)</v>
      </c>
      <c r="X55" s="84"/>
    </row>
    <row r="56" spans="1:24" x14ac:dyDescent="0.25">
      <c r="A56" s="86" t="s">
        <v>125</v>
      </c>
      <c r="B56" s="87" t="s">
        <v>177</v>
      </c>
      <c r="C56" s="87">
        <v>2</v>
      </c>
      <c r="D56" s="86" t="s">
        <v>69</v>
      </c>
      <c r="E56" s="86" t="s">
        <v>226</v>
      </c>
      <c r="F56" s="142">
        <f>252182/2</f>
        <v>126091</v>
      </c>
      <c r="G56" s="86" t="s">
        <v>128</v>
      </c>
      <c r="H56" s="200">
        <f>I56/F56</f>
        <v>8.3532607402590191</v>
      </c>
      <c r="I56" s="199">
        <f>(2226348-119806)/2</f>
        <v>1053271</v>
      </c>
      <c r="J56" s="86" t="s">
        <v>225</v>
      </c>
      <c r="K56" s="86" t="s">
        <v>64</v>
      </c>
      <c r="L56" s="86" t="s">
        <v>64</v>
      </c>
      <c r="M56" s="86" t="s">
        <v>127</v>
      </c>
      <c r="N56" s="192">
        <f t="shared" si="3"/>
        <v>8.3532607402590191</v>
      </c>
      <c r="O56" s="193">
        <f t="shared" si="4"/>
        <v>1053271</v>
      </c>
      <c r="P56" s="134" t="s">
        <v>76</v>
      </c>
      <c r="Q56" s="134">
        <v>1</v>
      </c>
      <c r="R56" s="134" t="s">
        <v>185</v>
      </c>
      <c r="S56" s="96" t="s">
        <v>162</v>
      </c>
      <c r="T56" s="84" t="s">
        <v>67</v>
      </c>
      <c r="U56" s="84" t="s">
        <v>104</v>
      </c>
      <c r="W56" s="84" t="str">
        <f t="shared" si="5"/>
        <v>3120000AA22LRSMITH-ASB126091SF8.35326074025902INSULATION (ASBESTOS)</v>
      </c>
      <c r="X56" s="84"/>
    </row>
    <row r="57" spans="1:24" x14ac:dyDescent="0.25">
      <c r="A57" s="86" t="s">
        <v>129</v>
      </c>
      <c r="B57" s="87" t="s">
        <v>177</v>
      </c>
      <c r="C57" s="87">
        <v>1</v>
      </c>
      <c r="D57" s="86" t="s">
        <v>122</v>
      </c>
      <c r="E57" s="86" t="s">
        <v>218</v>
      </c>
      <c r="F57" s="91">
        <f>'Smith Data'!$D$20</f>
        <v>114141.59999999999</v>
      </c>
      <c r="G57" s="86" t="s">
        <v>36</v>
      </c>
      <c r="H57" s="90">
        <f>'Smith Data'!$E$20</f>
        <v>-0.38793301271641789</v>
      </c>
      <c r="I57" s="195">
        <f>'Smith Data'!$F$20</f>
        <v>-44560.279894736821</v>
      </c>
      <c r="J57" s="86" t="s">
        <v>130</v>
      </c>
      <c r="K57" s="86" t="s">
        <v>131</v>
      </c>
      <c r="L57" s="86" t="s">
        <v>64</v>
      </c>
      <c r="M57" s="86" t="s">
        <v>267</v>
      </c>
      <c r="N57" s="192">
        <f t="shared" si="3"/>
        <v>-0.38793301271641789</v>
      </c>
      <c r="O57" s="193">
        <f t="shared" si="4"/>
        <v>-44560.279894736821</v>
      </c>
      <c r="P57" s="134" t="s">
        <v>75</v>
      </c>
      <c r="Q57" s="134">
        <v>1</v>
      </c>
      <c r="R57" s="134" t="s">
        <v>185</v>
      </c>
      <c r="S57" s="96" t="s">
        <v>166</v>
      </c>
      <c r="T57" s="112" t="s">
        <v>86</v>
      </c>
      <c r="U57" s="84" t="s">
        <v>104</v>
      </c>
      <c r="V57" s="136">
        <v>12</v>
      </c>
      <c r="W57" s="84" t="str">
        <f t="shared" si="5"/>
        <v>312UND11MSSMITH-NON114141.6lbs-0.387933012716418Main Power Block - AL Sales</v>
      </c>
      <c r="X57" s="84"/>
    </row>
    <row r="58" spans="1:24" x14ac:dyDescent="0.25">
      <c r="A58" s="86" t="s">
        <v>129</v>
      </c>
      <c r="B58" s="87" t="s">
        <v>177</v>
      </c>
      <c r="C58" s="87">
        <v>2</v>
      </c>
      <c r="D58" s="86" t="s">
        <v>124</v>
      </c>
      <c r="E58" s="86" t="s">
        <v>218</v>
      </c>
      <c r="F58" s="91">
        <f>'Smith Data'!$D$36</f>
        <v>129550.716</v>
      </c>
      <c r="G58" s="86" t="s">
        <v>36</v>
      </c>
      <c r="H58" s="90">
        <f>'Smith Data'!$E$36</f>
        <v>-0.38793301271641789</v>
      </c>
      <c r="I58" s="195">
        <f>'Smith Data'!$F$36</f>
        <v>-50575.917680526298</v>
      </c>
      <c r="J58" s="86" t="s">
        <v>130</v>
      </c>
      <c r="K58" s="86" t="s">
        <v>131</v>
      </c>
      <c r="L58" s="86" t="s">
        <v>64</v>
      </c>
      <c r="M58" s="86" t="s">
        <v>267</v>
      </c>
      <c r="N58" s="192">
        <f t="shared" si="3"/>
        <v>-0.38793301271641789</v>
      </c>
      <c r="O58" s="193">
        <f t="shared" si="4"/>
        <v>-50575.917680526298</v>
      </c>
      <c r="P58" s="134" t="s">
        <v>75</v>
      </c>
      <c r="Q58" s="134">
        <v>1</v>
      </c>
      <c r="R58" s="134" t="s">
        <v>185</v>
      </c>
      <c r="S58" s="96" t="s">
        <v>166</v>
      </c>
      <c r="T58" s="112" t="s">
        <v>86</v>
      </c>
      <c r="U58" s="84" t="s">
        <v>104</v>
      </c>
      <c r="V58" s="136">
        <v>26</v>
      </c>
      <c r="W58" s="84" t="str">
        <f t="shared" si="5"/>
        <v>312UND22MSSMITH-NON129550.716lbs-0.387933012716418Main Power Block - AL Sales</v>
      </c>
      <c r="X58" s="84"/>
    </row>
    <row r="59" spans="1:24" s="77" customFormat="1" x14ac:dyDescent="0.25">
      <c r="A59" s="86" t="s">
        <v>113</v>
      </c>
      <c r="B59" s="87" t="s">
        <v>169</v>
      </c>
      <c r="C59" s="87">
        <v>1</v>
      </c>
      <c r="D59" s="86" t="s">
        <v>68</v>
      </c>
      <c r="E59" s="86" t="s">
        <v>218</v>
      </c>
      <c r="F59" s="91">
        <f>'Smith Data'!$D$31</f>
        <v>10481.481481481482</v>
      </c>
      <c r="G59" s="86" t="s">
        <v>40</v>
      </c>
      <c r="H59" s="90">
        <f>'Smith Data'!$E$31</f>
        <v>40</v>
      </c>
      <c r="I59" s="195">
        <f>'Smith Data'!$F$31</f>
        <v>419259.25925925927</v>
      </c>
      <c r="J59" s="86" t="s">
        <v>119</v>
      </c>
      <c r="K59" s="86" t="s">
        <v>64</v>
      </c>
      <c r="L59" s="86" t="s">
        <v>64</v>
      </c>
      <c r="M59" s="86" t="s">
        <v>120</v>
      </c>
      <c r="N59" s="192">
        <f t="shared" si="3"/>
        <v>40</v>
      </c>
      <c r="O59" s="193">
        <f t="shared" si="4"/>
        <v>419259.25925925927</v>
      </c>
      <c r="P59" s="134" t="s">
        <v>75</v>
      </c>
      <c r="Q59" s="134">
        <v>1</v>
      </c>
      <c r="R59" s="134" t="s">
        <v>185</v>
      </c>
      <c r="S59" s="96" t="s">
        <v>162</v>
      </c>
      <c r="T59" s="112" t="s">
        <v>86</v>
      </c>
      <c r="U59" s="84" t="s">
        <v>104</v>
      </c>
      <c r="V59" s="136">
        <v>23</v>
      </c>
      <c r="W59" s="84" t="str">
        <f t="shared" si="5"/>
        <v>311UND11LRSMITH-NON10481.4814814815cy40Main Power Block - Backfill Basement</v>
      </c>
      <c r="X59" s="84"/>
    </row>
    <row r="60" spans="1:24" s="117" customFormat="1" x14ac:dyDescent="0.25">
      <c r="A60" s="86" t="s">
        <v>113</v>
      </c>
      <c r="B60" s="87" t="s">
        <v>169</v>
      </c>
      <c r="C60" s="87">
        <v>2</v>
      </c>
      <c r="D60" s="86" t="s">
        <v>69</v>
      </c>
      <c r="E60" s="86" t="s">
        <v>218</v>
      </c>
      <c r="F60" s="91">
        <f>'Smith Data'!$D$46</f>
        <v>11896.481481481482</v>
      </c>
      <c r="G60" s="86" t="s">
        <v>40</v>
      </c>
      <c r="H60" s="90">
        <f>'Smith Data'!$E$46</f>
        <v>40.816000000000003</v>
      </c>
      <c r="I60" s="195">
        <f>'Smith Data'!$F$46</f>
        <v>475859.25925925927</v>
      </c>
      <c r="J60" s="86" t="s">
        <v>119</v>
      </c>
      <c r="K60" s="86" t="s">
        <v>64</v>
      </c>
      <c r="L60" s="86" t="s">
        <v>64</v>
      </c>
      <c r="M60" s="86" t="s">
        <v>120</v>
      </c>
      <c r="N60" s="192">
        <f t="shared" si="3"/>
        <v>40.816000000000003</v>
      </c>
      <c r="O60" s="193">
        <f t="shared" si="4"/>
        <v>475859.25925925927</v>
      </c>
      <c r="P60" s="134" t="s">
        <v>75</v>
      </c>
      <c r="Q60" s="134">
        <v>1</v>
      </c>
      <c r="R60" s="134" t="s">
        <v>185</v>
      </c>
      <c r="S60" s="96" t="s">
        <v>162</v>
      </c>
      <c r="T60" s="112" t="s">
        <v>86</v>
      </c>
      <c r="U60" s="84" t="s">
        <v>104</v>
      </c>
      <c r="V60" s="136">
        <v>36</v>
      </c>
      <c r="W60" s="84" t="str">
        <f t="shared" si="5"/>
        <v>311UND22LRSMITH-NON11896.4814814815cy40.816Main Power Block - Backfill Basement</v>
      </c>
      <c r="X60" s="84"/>
    </row>
    <row r="61" spans="1:24" s="117" customFormat="1" x14ac:dyDescent="0.25">
      <c r="A61" s="86" t="s">
        <v>129</v>
      </c>
      <c r="B61" s="87" t="s">
        <v>177</v>
      </c>
      <c r="C61" s="87">
        <v>1</v>
      </c>
      <c r="D61" s="86" t="s">
        <v>68</v>
      </c>
      <c r="E61" s="86" t="s">
        <v>218</v>
      </c>
      <c r="F61" s="98">
        <f>'Smith Data'!$D$26/2</f>
        <v>0.5</v>
      </c>
      <c r="G61" s="86" t="s">
        <v>42</v>
      </c>
      <c r="H61" s="90">
        <f>'Smith Data'!$E$26</f>
        <v>100000</v>
      </c>
      <c r="I61" s="195">
        <f>'Smith Data'!$F$26/2</f>
        <v>50000</v>
      </c>
      <c r="J61" s="86" t="s">
        <v>216</v>
      </c>
      <c r="K61" s="86" t="s">
        <v>64</v>
      </c>
      <c r="L61" s="86" t="s">
        <v>64</v>
      </c>
      <c r="M61" s="86" t="str">
        <f>J61</f>
        <v>Main Power Block - Brick Stack</v>
      </c>
      <c r="N61" s="192">
        <f t="shared" si="3"/>
        <v>100000</v>
      </c>
      <c r="O61" s="193">
        <f t="shared" si="4"/>
        <v>50000</v>
      </c>
      <c r="P61" s="134" t="s">
        <v>75</v>
      </c>
      <c r="Q61" s="134">
        <v>1</v>
      </c>
      <c r="R61" s="134" t="s">
        <v>185</v>
      </c>
      <c r="S61" s="96" t="s">
        <v>162</v>
      </c>
      <c r="T61" s="112" t="s">
        <v>86</v>
      </c>
      <c r="U61" s="84" t="s">
        <v>104</v>
      </c>
      <c r="V61" s="136">
        <v>18</v>
      </c>
      <c r="W61" s="84" t="str">
        <f t="shared" si="5"/>
        <v>312UND11LRSMITH-NON0.5ea100000Main Power Block - Brick Stack</v>
      </c>
      <c r="X61" s="84"/>
    </row>
    <row r="62" spans="1:24" s="77" customFormat="1" x14ac:dyDescent="0.25">
      <c r="A62" s="86" t="s">
        <v>129</v>
      </c>
      <c r="B62" s="87" t="s">
        <v>177</v>
      </c>
      <c r="C62" s="87">
        <v>2</v>
      </c>
      <c r="D62" s="86" t="s">
        <v>69</v>
      </c>
      <c r="E62" s="86" t="s">
        <v>218</v>
      </c>
      <c r="F62" s="98">
        <f>'Smith Data'!$D$26/2</f>
        <v>0.5</v>
      </c>
      <c r="G62" s="86" t="s">
        <v>42</v>
      </c>
      <c r="H62" s="90">
        <f>'Smith Data'!$E$26</f>
        <v>100000</v>
      </c>
      <c r="I62" s="195">
        <f>'Smith Data'!$F$26/2</f>
        <v>50000</v>
      </c>
      <c r="J62" s="86" t="s">
        <v>216</v>
      </c>
      <c r="K62" s="86" t="s">
        <v>64</v>
      </c>
      <c r="L62" s="86" t="s">
        <v>64</v>
      </c>
      <c r="M62" s="86" t="str">
        <f>J62</f>
        <v>Main Power Block - Brick Stack</v>
      </c>
      <c r="N62" s="192">
        <f t="shared" si="3"/>
        <v>100000</v>
      </c>
      <c r="O62" s="193">
        <f t="shared" si="4"/>
        <v>50000</v>
      </c>
      <c r="P62" s="134" t="s">
        <v>75</v>
      </c>
      <c r="Q62" s="134">
        <v>1</v>
      </c>
      <c r="R62" s="134" t="s">
        <v>185</v>
      </c>
      <c r="S62" s="96" t="s">
        <v>162</v>
      </c>
      <c r="T62" s="112" t="s">
        <v>86</v>
      </c>
      <c r="U62" s="84" t="s">
        <v>104</v>
      </c>
      <c r="V62" s="136">
        <v>18</v>
      </c>
      <c r="W62" s="84" t="str">
        <f t="shared" si="5"/>
        <v>312UND22LRSMITH-NON0.5ea100000Main Power Block - Brick Stack</v>
      </c>
      <c r="X62" s="84"/>
    </row>
    <row r="63" spans="1:24" s="77" customFormat="1" x14ac:dyDescent="0.25">
      <c r="A63" s="86" t="s">
        <v>139</v>
      </c>
      <c r="B63" s="87" t="s">
        <v>178</v>
      </c>
      <c r="C63" s="87">
        <v>1</v>
      </c>
      <c r="D63" s="86" t="s">
        <v>122</v>
      </c>
      <c r="E63" s="86" t="s">
        <v>218</v>
      </c>
      <c r="F63" s="91">
        <f>'Smith Data'!$D$24</f>
        <v>157500</v>
      </c>
      <c r="G63" s="86" t="s">
        <v>36</v>
      </c>
      <c r="H63" s="90">
        <f>'Smith Data'!$E$24</f>
        <v>-1.5206066633165829</v>
      </c>
      <c r="I63" s="195">
        <f>'Smith Data'!$F$24</f>
        <v>-249243.75</v>
      </c>
      <c r="J63" s="86" t="s">
        <v>212</v>
      </c>
      <c r="K63" s="86" t="s">
        <v>213</v>
      </c>
      <c r="L63" s="86" t="s">
        <v>64</v>
      </c>
      <c r="M63" s="86" t="s">
        <v>267</v>
      </c>
      <c r="N63" s="192">
        <f t="shared" si="3"/>
        <v>-1.5206066633165829</v>
      </c>
      <c r="O63" s="193">
        <f t="shared" si="4"/>
        <v>-249243.75</v>
      </c>
      <c r="P63" s="134" t="s">
        <v>75</v>
      </c>
      <c r="Q63" s="134">
        <v>1</v>
      </c>
      <c r="R63" s="134" t="s">
        <v>185</v>
      </c>
      <c r="S63" s="96" t="s">
        <v>166</v>
      </c>
      <c r="T63" s="112" t="s">
        <v>86</v>
      </c>
      <c r="U63" s="84" t="s">
        <v>104</v>
      </c>
      <c r="V63" s="136">
        <v>16</v>
      </c>
      <c r="W63" s="84" t="str">
        <f t="shared" si="5"/>
        <v>314UND11MSSMITH-NON157500lbs-1.52060666331658Main Power Block - Condenser Tubes (90-10, CU Ni)</v>
      </c>
      <c r="X63" s="84"/>
    </row>
    <row r="64" spans="1:24" x14ac:dyDescent="0.25">
      <c r="A64" s="86" t="s">
        <v>139</v>
      </c>
      <c r="B64" s="87" t="s">
        <v>178</v>
      </c>
      <c r="C64" s="87">
        <v>2</v>
      </c>
      <c r="D64" s="86" t="s">
        <v>124</v>
      </c>
      <c r="E64" s="86" t="s">
        <v>218</v>
      </c>
      <c r="F64" s="91">
        <f>'Smith Data'!$D$40</f>
        <v>180000</v>
      </c>
      <c r="G64" s="86" t="s">
        <v>36</v>
      </c>
      <c r="H64" s="90">
        <f>'Smith Data'!$E$40</f>
        <v>-1.5206066633165829</v>
      </c>
      <c r="I64" s="195">
        <f>'Smith Data'!$F$40</f>
        <v>-284850</v>
      </c>
      <c r="J64" s="86" t="s">
        <v>212</v>
      </c>
      <c r="K64" s="86" t="s">
        <v>213</v>
      </c>
      <c r="L64" s="86" t="s">
        <v>64</v>
      </c>
      <c r="M64" s="86" t="s">
        <v>267</v>
      </c>
      <c r="N64" s="192">
        <f t="shared" si="3"/>
        <v>-1.5206066633165829</v>
      </c>
      <c r="O64" s="193">
        <f t="shared" si="4"/>
        <v>-284850</v>
      </c>
      <c r="P64" s="134" t="s">
        <v>75</v>
      </c>
      <c r="Q64" s="134">
        <v>1</v>
      </c>
      <c r="R64" s="134" t="s">
        <v>185</v>
      </c>
      <c r="S64" s="96" t="s">
        <v>166</v>
      </c>
      <c r="T64" s="112" t="s">
        <v>86</v>
      </c>
      <c r="U64" s="84" t="s">
        <v>104</v>
      </c>
      <c r="V64" s="136">
        <v>30</v>
      </c>
      <c r="W64" s="84" t="str">
        <f t="shared" si="5"/>
        <v>314UND22MSSMITH-NON180000lbs-1.52060666331658Main Power Block - Condenser Tubes (90-10, CU Ni)</v>
      </c>
      <c r="X64" s="84"/>
    </row>
    <row r="65" spans="1:24" x14ac:dyDescent="0.25">
      <c r="A65" s="86" t="s">
        <v>129</v>
      </c>
      <c r="B65" s="87" t="s">
        <v>177</v>
      </c>
      <c r="C65" s="87">
        <v>1</v>
      </c>
      <c r="D65" s="86" t="s">
        <v>122</v>
      </c>
      <c r="E65" s="86" t="s">
        <v>218</v>
      </c>
      <c r="F65" s="91">
        <f>'Smith Data'!$D$21*0.2</f>
        <v>215600.80000000002</v>
      </c>
      <c r="G65" s="86" t="s">
        <v>36</v>
      </c>
      <c r="H65" s="90">
        <f>'Smith Data'!$E$21</f>
        <v>-0.31414430979039298</v>
      </c>
      <c r="I65" s="195">
        <f>'Smith Data'!$F$21*0.2</f>
        <v>-79812.099224615406</v>
      </c>
      <c r="J65" s="86" t="s">
        <v>132</v>
      </c>
      <c r="K65" s="86" t="s">
        <v>133</v>
      </c>
      <c r="L65" s="86" t="s">
        <v>64</v>
      </c>
      <c r="M65" s="86" t="s">
        <v>267</v>
      </c>
      <c r="N65" s="192">
        <f t="shared" si="3"/>
        <v>-0.31414430979039298</v>
      </c>
      <c r="O65" s="193">
        <f t="shared" si="4"/>
        <v>-79812.099224615406</v>
      </c>
      <c r="P65" s="134" t="s">
        <v>75</v>
      </c>
      <c r="Q65" s="134">
        <v>1</v>
      </c>
      <c r="R65" s="134" t="s">
        <v>185</v>
      </c>
      <c r="S65" s="96" t="s">
        <v>166</v>
      </c>
      <c r="T65" s="112" t="s">
        <v>86</v>
      </c>
      <c r="U65" s="84" t="s">
        <v>104</v>
      </c>
      <c r="V65" s="136">
        <v>13</v>
      </c>
      <c r="W65" s="84" t="str">
        <f t="shared" si="5"/>
        <v>312UND11MSSMITH-NON215600.8lbs-0.314144309790393Main Power Block - CU Sales</v>
      </c>
      <c r="X65" s="84"/>
    </row>
    <row r="66" spans="1:24" x14ac:dyDescent="0.25">
      <c r="A66" s="86" t="s">
        <v>141</v>
      </c>
      <c r="B66" s="87" t="s">
        <v>179</v>
      </c>
      <c r="C66" s="87">
        <v>1</v>
      </c>
      <c r="D66" s="86" t="s">
        <v>122</v>
      </c>
      <c r="E66" s="86" t="s">
        <v>218</v>
      </c>
      <c r="F66" s="91">
        <f>'Smith Data'!$D$21*0.8</f>
        <v>862403.20000000007</v>
      </c>
      <c r="G66" s="86" t="s">
        <v>36</v>
      </c>
      <c r="H66" s="90">
        <f>'Smith Data'!$E$21</f>
        <v>-0.31414430979039298</v>
      </c>
      <c r="I66" s="195">
        <f>'Smith Data'!$F$21*0.8</f>
        <v>-319248.39689846162</v>
      </c>
      <c r="J66" s="86" t="s">
        <v>132</v>
      </c>
      <c r="K66" s="86" t="s">
        <v>133</v>
      </c>
      <c r="L66" s="86" t="s">
        <v>64</v>
      </c>
      <c r="M66" s="86" t="s">
        <v>267</v>
      </c>
      <c r="N66" s="192">
        <f t="shared" si="3"/>
        <v>-0.31414430979039298</v>
      </c>
      <c r="O66" s="193">
        <f t="shared" si="4"/>
        <v>-319248.39689846162</v>
      </c>
      <c r="P66" s="134" t="s">
        <v>75</v>
      </c>
      <c r="Q66" s="134">
        <v>1</v>
      </c>
      <c r="R66" s="134" t="s">
        <v>185</v>
      </c>
      <c r="S66" s="96" t="s">
        <v>166</v>
      </c>
      <c r="T66" s="112" t="s">
        <v>86</v>
      </c>
      <c r="U66" s="84" t="s">
        <v>104</v>
      </c>
      <c r="V66" s="136">
        <v>13</v>
      </c>
      <c r="W66" s="84" t="str">
        <f t="shared" si="5"/>
        <v>315UND11MSSMITH-NON862403.2lbs-0.314144309790393Main Power Block - CU Sales</v>
      </c>
      <c r="X66" s="84"/>
    </row>
    <row r="67" spans="1:24" x14ac:dyDescent="0.25">
      <c r="A67" s="86" t="s">
        <v>129</v>
      </c>
      <c r="B67" s="87" t="s">
        <v>177</v>
      </c>
      <c r="C67" s="87">
        <v>2</v>
      </c>
      <c r="D67" s="86" t="s">
        <v>124</v>
      </c>
      <c r="E67" s="86" t="s">
        <v>218</v>
      </c>
      <c r="F67" s="91">
        <f>'Smith Data'!$D$37*0.2</f>
        <v>244706.90800000002</v>
      </c>
      <c r="G67" s="86" t="s">
        <v>36</v>
      </c>
      <c r="H67" s="90">
        <f>'Smith Data'!$E$37</f>
        <v>-0.31414430979039298</v>
      </c>
      <c r="I67" s="195">
        <f>'Smith Data'!$F$37*0.2</f>
        <v>-90586.732619938484</v>
      </c>
      <c r="J67" s="86" t="s">
        <v>132</v>
      </c>
      <c r="K67" s="86" t="s">
        <v>133</v>
      </c>
      <c r="L67" s="86" t="s">
        <v>64</v>
      </c>
      <c r="M67" s="86" t="s">
        <v>267</v>
      </c>
      <c r="N67" s="192">
        <f t="shared" ref="N67:N98" si="6">H67</f>
        <v>-0.31414430979039298</v>
      </c>
      <c r="O67" s="193">
        <f t="shared" ref="O67:O98" si="7">I67</f>
        <v>-90586.732619938484</v>
      </c>
      <c r="P67" s="134" t="s">
        <v>75</v>
      </c>
      <c r="Q67" s="134">
        <v>1</v>
      </c>
      <c r="R67" s="134" t="s">
        <v>185</v>
      </c>
      <c r="S67" s="96" t="s">
        <v>166</v>
      </c>
      <c r="T67" s="112" t="s">
        <v>86</v>
      </c>
      <c r="U67" s="84" t="s">
        <v>104</v>
      </c>
      <c r="V67" s="136">
        <v>27</v>
      </c>
      <c r="W67" s="84" t="str">
        <f t="shared" ref="W67:W96" si="8">A67&amp;C67&amp;D67&amp;E67&amp;F67&amp;G67&amp;H67&amp;J67</f>
        <v>312UND22MSSMITH-NON244706.908lbs-0.314144309790393Main Power Block - CU Sales</v>
      </c>
      <c r="X67" s="84"/>
    </row>
    <row r="68" spans="1:24" x14ac:dyDescent="0.25">
      <c r="A68" s="86" t="s">
        <v>141</v>
      </c>
      <c r="B68" s="87" t="s">
        <v>179</v>
      </c>
      <c r="C68" s="87">
        <v>2</v>
      </c>
      <c r="D68" s="86" t="s">
        <v>124</v>
      </c>
      <c r="E68" s="86" t="s">
        <v>218</v>
      </c>
      <c r="F68" s="91">
        <f>'Smith Data'!$D$37*0.8</f>
        <v>978827.6320000001</v>
      </c>
      <c r="G68" s="86" t="s">
        <v>36</v>
      </c>
      <c r="H68" s="90">
        <f>'Smith Data'!$E$37</f>
        <v>-0.31414430979039298</v>
      </c>
      <c r="I68" s="195">
        <f>'Smith Data'!$F$37*0.8</f>
        <v>-362346.93047975394</v>
      </c>
      <c r="J68" s="86" t="s">
        <v>132</v>
      </c>
      <c r="K68" s="86" t="s">
        <v>133</v>
      </c>
      <c r="L68" s="86" t="s">
        <v>64</v>
      </c>
      <c r="M68" s="86" t="s">
        <v>267</v>
      </c>
      <c r="N68" s="192">
        <f t="shared" si="6"/>
        <v>-0.31414430979039298</v>
      </c>
      <c r="O68" s="193">
        <f t="shared" si="7"/>
        <v>-362346.93047975394</v>
      </c>
      <c r="P68" s="134" t="s">
        <v>75</v>
      </c>
      <c r="Q68" s="134">
        <v>1</v>
      </c>
      <c r="R68" s="134" t="s">
        <v>185</v>
      </c>
      <c r="S68" s="96" t="s">
        <v>166</v>
      </c>
      <c r="T68" s="112" t="s">
        <v>86</v>
      </c>
      <c r="U68" s="84" t="s">
        <v>104</v>
      </c>
      <c r="V68" s="136">
        <v>27</v>
      </c>
      <c r="W68" s="84" t="str">
        <f t="shared" si="8"/>
        <v>315UND22MSSMITH-NON978827.632lbs-0.314144309790393Main Power Block - CU Sales</v>
      </c>
      <c r="X68" s="84"/>
    </row>
    <row r="69" spans="1:24" x14ac:dyDescent="0.25">
      <c r="A69" s="86" t="s">
        <v>113</v>
      </c>
      <c r="B69" s="87" t="s">
        <v>169</v>
      </c>
      <c r="C69" s="87">
        <v>1</v>
      </c>
      <c r="D69" s="86" t="s">
        <v>68</v>
      </c>
      <c r="E69" s="86" t="s">
        <v>218</v>
      </c>
      <c r="F69" s="91">
        <f>('Smith Data'!$D$18)*0.6</f>
        <v>7549.44</v>
      </c>
      <c r="G69" s="86" t="s">
        <v>33</v>
      </c>
      <c r="H69" s="90">
        <f>('Smith Data'!$E$18)</f>
        <v>244.89599999999999</v>
      </c>
      <c r="I69" s="195">
        <f>('Smith Data'!$F$18)*0.6</f>
        <v>1848827.65824</v>
      </c>
      <c r="J69" s="86" t="s">
        <v>121</v>
      </c>
      <c r="K69" s="86" t="s">
        <v>64</v>
      </c>
      <c r="L69" s="86" t="s">
        <v>64</v>
      </c>
      <c r="M69" s="86" t="s">
        <v>121</v>
      </c>
      <c r="N69" s="192">
        <f t="shared" si="6"/>
        <v>244.89599999999999</v>
      </c>
      <c r="O69" s="193">
        <f t="shared" si="7"/>
        <v>1848827.65824</v>
      </c>
      <c r="P69" s="134" t="s">
        <v>75</v>
      </c>
      <c r="Q69" s="134">
        <v>1</v>
      </c>
      <c r="R69" s="134" t="s">
        <v>185</v>
      </c>
      <c r="S69" s="96" t="s">
        <v>162</v>
      </c>
      <c r="T69" s="112" t="s">
        <v>86</v>
      </c>
      <c r="U69" s="84" t="s">
        <v>104</v>
      </c>
      <c r="V69" s="136">
        <v>10</v>
      </c>
      <c r="W69" s="84" t="str">
        <f t="shared" si="8"/>
        <v>311UND11LRSMITH-NON7549.44nt244.896Main Power Block - DEMO</v>
      </c>
      <c r="X69" s="84"/>
    </row>
    <row r="70" spans="1:24" x14ac:dyDescent="0.25">
      <c r="A70" s="86" t="s">
        <v>129</v>
      </c>
      <c r="B70" s="87" t="s">
        <v>177</v>
      </c>
      <c r="C70" s="87">
        <v>1</v>
      </c>
      <c r="D70" s="86" t="s">
        <v>68</v>
      </c>
      <c r="E70" s="86" t="s">
        <v>218</v>
      </c>
      <c r="F70" s="91">
        <f>('Smith Data'!$D$18)*0.2</f>
        <v>2516.48</v>
      </c>
      <c r="G70" s="86" t="s">
        <v>33</v>
      </c>
      <c r="H70" s="90">
        <f>('Smith Data'!$E$18)</f>
        <v>244.89599999999999</v>
      </c>
      <c r="I70" s="195">
        <f>('Smith Data'!$F$18)*0.2</f>
        <v>616275.88607999997</v>
      </c>
      <c r="J70" s="86" t="s">
        <v>121</v>
      </c>
      <c r="K70" s="86" t="s">
        <v>64</v>
      </c>
      <c r="L70" s="86" t="s">
        <v>64</v>
      </c>
      <c r="M70" s="86" t="s">
        <v>121</v>
      </c>
      <c r="N70" s="192">
        <f t="shared" si="6"/>
        <v>244.89599999999999</v>
      </c>
      <c r="O70" s="193">
        <f t="shared" si="7"/>
        <v>616275.88607999997</v>
      </c>
      <c r="P70" s="134" t="s">
        <v>75</v>
      </c>
      <c r="Q70" s="134">
        <v>1</v>
      </c>
      <c r="R70" s="134" t="s">
        <v>185</v>
      </c>
      <c r="S70" s="96" t="s">
        <v>162</v>
      </c>
      <c r="T70" s="112" t="s">
        <v>86</v>
      </c>
      <c r="U70" s="84" t="s">
        <v>104</v>
      </c>
      <c r="V70" s="136">
        <v>10</v>
      </c>
      <c r="W70" s="84" t="str">
        <f t="shared" si="8"/>
        <v>312UND11LRSMITH-NON2516.48nt244.896Main Power Block - DEMO</v>
      </c>
      <c r="X70" s="84"/>
    </row>
    <row r="71" spans="1:24" s="77" customFormat="1" x14ac:dyDescent="0.25">
      <c r="A71" s="86" t="s">
        <v>139</v>
      </c>
      <c r="B71" s="87" t="s">
        <v>178</v>
      </c>
      <c r="C71" s="87">
        <v>1</v>
      </c>
      <c r="D71" s="86" t="s">
        <v>68</v>
      </c>
      <c r="E71" s="86" t="s">
        <v>218</v>
      </c>
      <c r="F71" s="91">
        <f>('Smith Data'!$D$18)*0.15</f>
        <v>1887.36</v>
      </c>
      <c r="G71" s="86" t="s">
        <v>33</v>
      </c>
      <c r="H71" s="90">
        <f>('Smith Data'!$E$18)</f>
        <v>244.89599999999999</v>
      </c>
      <c r="I71" s="195">
        <f>('Smith Data'!$F$18)*0.15</f>
        <v>462206.91456</v>
      </c>
      <c r="J71" s="86" t="s">
        <v>121</v>
      </c>
      <c r="K71" s="86" t="s">
        <v>64</v>
      </c>
      <c r="L71" s="86" t="s">
        <v>64</v>
      </c>
      <c r="M71" s="86" t="s">
        <v>121</v>
      </c>
      <c r="N71" s="192">
        <f t="shared" si="6"/>
        <v>244.89599999999999</v>
      </c>
      <c r="O71" s="193">
        <f t="shared" si="7"/>
        <v>462206.91456</v>
      </c>
      <c r="P71" s="134" t="s">
        <v>75</v>
      </c>
      <c r="Q71" s="134">
        <v>1</v>
      </c>
      <c r="R71" s="134" t="s">
        <v>185</v>
      </c>
      <c r="S71" s="96" t="s">
        <v>162</v>
      </c>
      <c r="T71" s="112" t="s">
        <v>86</v>
      </c>
      <c r="U71" s="84" t="s">
        <v>104</v>
      </c>
      <c r="V71" s="136">
        <v>10</v>
      </c>
      <c r="W71" s="84" t="str">
        <f t="shared" si="8"/>
        <v>314UND11LRSMITH-NON1887.36nt244.896Main Power Block - DEMO</v>
      </c>
      <c r="X71" s="84"/>
    </row>
    <row r="72" spans="1:24" s="77" customFormat="1" x14ac:dyDescent="0.25">
      <c r="A72" s="86" t="s">
        <v>141</v>
      </c>
      <c r="B72" s="87" t="s">
        <v>179</v>
      </c>
      <c r="C72" s="87">
        <v>1</v>
      </c>
      <c r="D72" s="86" t="s">
        <v>68</v>
      </c>
      <c r="E72" s="86" t="s">
        <v>218</v>
      </c>
      <c r="F72" s="91">
        <f>('Smith Data'!$D$18)*0.05</f>
        <v>629.12</v>
      </c>
      <c r="G72" s="86" t="s">
        <v>33</v>
      </c>
      <c r="H72" s="90">
        <f>('Smith Data'!$E$18)</f>
        <v>244.89599999999999</v>
      </c>
      <c r="I72" s="195">
        <f>('Smith Data'!$F$18)*0.05</f>
        <v>154068.97151999999</v>
      </c>
      <c r="J72" s="86" t="s">
        <v>121</v>
      </c>
      <c r="K72" s="86" t="s">
        <v>64</v>
      </c>
      <c r="L72" s="86" t="s">
        <v>64</v>
      </c>
      <c r="M72" s="86" t="s">
        <v>121</v>
      </c>
      <c r="N72" s="192">
        <f t="shared" si="6"/>
        <v>244.89599999999999</v>
      </c>
      <c r="O72" s="193">
        <f t="shared" si="7"/>
        <v>154068.97151999999</v>
      </c>
      <c r="P72" s="134" t="s">
        <v>75</v>
      </c>
      <c r="Q72" s="134">
        <v>1</v>
      </c>
      <c r="R72" s="134" t="s">
        <v>185</v>
      </c>
      <c r="S72" s="96" t="s">
        <v>162</v>
      </c>
      <c r="T72" s="112" t="s">
        <v>86</v>
      </c>
      <c r="U72" s="84" t="s">
        <v>104</v>
      </c>
      <c r="V72" s="136">
        <v>10</v>
      </c>
      <c r="W72" s="84" t="str">
        <f t="shared" si="8"/>
        <v>315UND11LRSMITH-NON629.12nt244.896Main Power Block - DEMO</v>
      </c>
      <c r="X72" s="84"/>
    </row>
    <row r="73" spans="1:24" s="77" customFormat="1" x14ac:dyDescent="0.25">
      <c r="A73" s="86" t="s">
        <v>113</v>
      </c>
      <c r="B73" s="87" t="s">
        <v>169</v>
      </c>
      <c r="C73" s="87">
        <v>2</v>
      </c>
      <c r="D73" s="86" t="s">
        <v>69</v>
      </c>
      <c r="E73" s="86" t="s">
        <v>218</v>
      </c>
      <c r="F73" s="91">
        <f>('Smith Data'!$D$34)*0.6</f>
        <v>8564.7143999999989</v>
      </c>
      <c r="G73" s="86" t="s">
        <v>33</v>
      </c>
      <c r="H73" s="90">
        <f>('Smith Data'!$E$34)</f>
        <v>244.89599999999999</v>
      </c>
      <c r="I73" s="195">
        <f>('Smith Data'!$F$34)*0.6</f>
        <v>2097464.2977023995</v>
      </c>
      <c r="J73" s="86" t="s">
        <v>121</v>
      </c>
      <c r="K73" s="86" t="s">
        <v>64</v>
      </c>
      <c r="L73" s="86" t="s">
        <v>64</v>
      </c>
      <c r="M73" s="86" t="s">
        <v>121</v>
      </c>
      <c r="N73" s="192">
        <f t="shared" si="6"/>
        <v>244.89599999999999</v>
      </c>
      <c r="O73" s="193">
        <f t="shared" si="7"/>
        <v>2097464.2977023995</v>
      </c>
      <c r="P73" s="134" t="s">
        <v>75</v>
      </c>
      <c r="Q73" s="134">
        <v>1</v>
      </c>
      <c r="R73" s="134" t="s">
        <v>185</v>
      </c>
      <c r="S73" s="96" t="s">
        <v>162</v>
      </c>
      <c r="T73" s="112" t="s">
        <v>86</v>
      </c>
      <c r="U73" s="84" t="s">
        <v>104</v>
      </c>
      <c r="V73" s="136">
        <v>24</v>
      </c>
      <c r="W73" s="84" t="str">
        <f t="shared" si="8"/>
        <v>311UND22LRSMITH-NON8564.7144nt244.896Main Power Block - DEMO</v>
      </c>
      <c r="X73" s="84"/>
    </row>
    <row r="74" spans="1:24" x14ac:dyDescent="0.25">
      <c r="A74" s="86" t="s">
        <v>129</v>
      </c>
      <c r="B74" s="87" t="s">
        <v>177</v>
      </c>
      <c r="C74" s="87">
        <v>2</v>
      </c>
      <c r="D74" s="86" t="s">
        <v>69</v>
      </c>
      <c r="E74" s="86" t="s">
        <v>218</v>
      </c>
      <c r="F74" s="91">
        <f>('Smith Data'!$D$34)*0.2</f>
        <v>2854.9048000000003</v>
      </c>
      <c r="G74" s="86" t="s">
        <v>33</v>
      </c>
      <c r="H74" s="90">
        <f>('Smith Data'!$E$34)</f>
        <v>244.89599999999999</v>
      </c>
      <c r="I74" s="195">
        <f>('Smith Data'!$F$34)*0.2</f>
        <v>699154.7659008</v>
      </c>
      <c r="J74" s="86" t="s">
        <v>121</v>
      </c>
      <c r="K74" s="86" t="s">
        <v>64</v>
      </c>
      <c r="L74" s="86" t="s">
        <v>64</v>
      </c>
      <c r="M74" s="86" t="s">
        <v>121</v>
      </c>
      <c r="N74" s="192">
        <f t="shared" si="6"/>
        <v>244.89599999999999</v>
      </c>
      <c r="O74" s="193">
        <f t="shared" si="7"/>
        <v>699154.7659008</v>
      </c>
      <c r="P74" s="134" t="s">
        <v>75</v>
      </c>
      <c r="Q74" s="134">
        <v>1</v>
      </c>
      <c r="R74" s="134" t="s">
        <v>185</v>
      </c>
      <c r="S74" s="96" t="s">
        <v>162</v>
      </c>
      <c r="T74" s="112" t="s">
        <v>86</v>
      </c>
      <c r="U74" s="84" t="s">
        <v>104</v>
      </c>
      <c r="V74" s="136">
        <v>24</v>
      </c>
      <c r="W74" s="84" t="str">
        <f t="shared" si="8"/>
        <v>312UND22LRSMITH-NON2854.9048nt244.896Main Power Block - DEMO</v>
      </c>
      <c r="X74" s="84"/>
    </row>
    <row r="75" spans="1:24" x14ac:dyDescent="0.25">
      <c r="A75" s="86" t="s">
        <v>139</v>
      </c>
      <c r="B75" s="87" t="s">
        <v>178</v>
      </c>
      <c r="C75" s="87">
        <v>2</v>
      </c>
      <c r="D75" s="86" t="s">
        <v>69</v>
      </c>
      <c r="E75" s="86" t="s">
        <v>218</v>
      </c>
      <c r="F75" s="91">
        <f>('Smith Data'!$D$34)*0.15</f>
        <v>2141.1785999999997</v>
      </c>
      <c r="G75" s="86" t="s">
        <v>33</v>
      </c>
      <c r="H75" s="90">
        <f>('Smith Data'!$E$34)</f>
        <v>244.89599999999999</v>
      </c>
      <c r="I75" s="195">
        <f>('Smith Data'!$F$34)*0.15</f>
        <v>524366.07442559989</v>
      </c>
      <c r="J75" s="86" t="s">
        <v>121</v>
      </c>
      <c r="K75" s="86" t="s">
        <v>64</v>
      </c>
      <c r="L75" s="86" t="s">
        <v>64</v>
      </c>
      <c r="M75" s="86" t="s">
        <v>121</v>
      </c>
      <c r="N75" s="192">
        <f t="shared" si="6"/>
        <v>244.89599999999999</v>
      </c>
      <c r="O75" s="193">
        <f t="shared" si="7"/>
        <v>524366.07442559989</v>
      </c>
      <c r="P75" s="134" t="s">
        <v>75</v>
      </c>
      <c r="Q75" s="134">
        <v>1</v>
      </c>
      <c r="R75" s="134" t="s">
        <v>185</v>
      </c>
      <c r="S75" s="96" t="s">
        <v>162</v>
      </c>
      <c r="T75" s="112" t="s">
        <v>86</v>
      </c>
      <c r="U75" s="84" t="s">
        <v>104</v>
      </c>
      <c r="V75" s="136">
        <v>24</v>
      </c>
      <c r="W75" s="84" t="str">
        <f t="shared" si="8"/>
        <v>314UND22LRSMITH-NON2141.1786nt244.896Main Power Block - DEMO</v>
      </c>
      <c r="X75" s="84"/>
    </row>
    <row r="76" spans="1:24" x14ac:dyDescent="0.25">
      <c r="A76" s="86" t="s">
        <v>141</v>
      </c>
      <c r="B76" s="87" t="s">
        <v>179</v>
      </c>
      <c r="C76" s="87">
        <v>2</v>
      </c>
      <c r="D76" s="86" t="s">
        <v>69</v>
      </c>
      <c r="E76" s="86" t="s">
        <v>218</v>
      </c>
      <c r="F76" s="91">
        <f>('Smith Data'!$D$34)*0.05</f>
        <v>713.72620000000006</v>
      </c>
      <c r="G76" s="86" t="s">
        <v>33</v>
      </c>
      <c r="H76" s="90">
        <f>('Smith Data'!$E$34)</f>
        <v>244.89599999999999</v>
      </c>
      <c r="I76" s="195">
        <f>('Smith Data'!$F$34)*0.05</f>
        <v>174788.6914752</v>
      </c>
      <c r="J76" s="86" t="s">
        <v>121</v>
      </c>
      <c r="K76" s="86" t="s">
        <v>64</v>
      </c>
      <c r="L76" s="86" t="s">
        <v>64</v>
      </c>
      <c r="M76" s="86" t="s">
        <v>121</v>
      </c>
      <c r="N76" s="192">
        <f t="shared" si="6"/>
        <v>244.89599999999999</v>
      </c>
      <c r="O76" s="193">
        <f t="shared" si="7"/>
        <v>174788.6914752</v>
      </c>
      <c r="P76" s="134" t="s">
        <v>75</v>
      </c>
      <c r="Q76" s="134">
        <v>1</v>
      </c>
      <c r="R76" s="134" t="s">
        <v>185</v>
      </c>
      <c r="S76" s="96" t="s">
        <v>162</v>
      </c>
      <c r="T76" s="112" t="s">
        <v>86</v>
      </c>
      <c r="U76" s="84" t="s">
        <v>104</v>
      </c>
      <c r="V76" s="136">
        <v>24</v>
      </c>
      <c r="W76" s="84" t="str">
        <f t="shared" si="8"/>
        <v>315UND22LRSMITH-NON713.7262nt244.896Main Power Block - DEMO</v>
      </c>
      <c r="X76" s="84"/>
    </row>
    <row r="77" spans="1:24" x14ac:dyDescent="0.25">
      <c r="A77" s="86" t="s">
        <v>113</v>
      </c>
      <c r="B77" s="87" t="s">
        <v>169</v>
      </c>
      <c r="C77" s="87">
        <v>1</v>
      </c>
      <c r="D77" s="86" t="s">
        <v>122</v>
      </c>
      <c r="E77" s="86" t="s">
        <v>218</v>
      </c>
      <c r="F77" s="91">
        <f>('Smith Data'!$D$19)*0.6</f>
        <v>7549.44</v>
      </c>
      <c r="G77" s="86" t="s">
        <v>33</v>
      </c>
      <c r="H77" s="90">
        <f>'Smith Data'!$E$19</f>
        <v>-108.3695731319762</v>
      </c>
      <c r="I77" s="195">
        <f>('Smith Data'!$F$19)*0.6</f>
        <v>-818129.59018546634</v>
      </c>
      <c r="J77" s="86" t="s">
        <v>123</v>
      </c>
      <c r="K77" s="86" t="s">
        <v>118</v>
      </c>
      <c r="L77" s="86" t="s">
        <v>64</v>
      </c>
      <c r="M77" s="86" t="s">
        <v>267</v>
      </c>
      <c r="N77" s="192">
        <f t="shared" si="6"/>
        <v>-108.3695731319762</v>
      </c>
      <c r="O77" s="193">
        <f t="shared" si="7"/>
        <v>-818129.59018546634</v>
      </c>
      <c r="P77" s="134" t="s">
        <v>75</v>
      </c>
      <c r="Q77" s="134">
        <v>1</v>
      </c>
      <c r="R77" s="134" t="s">
        <v>185</v>
      </c>
      <c r="S77" s="96" t="s">
        <v>166</v>
      </c>
      <c r="T77" s="112" t="s">
        <v>86</v>
      </c>
      <c r="U77" s="84" t="s">
        <v>104</v>
      </c>
      <c r="V77" s="136">
        <v>11</v>
      </c>
      <c r="W77" s="84" t="str">
        <f t="shared" si="8"/>
        <v>311UND11MSSMITH-NON7549.44nt-108.369573131976Main Power Block - FE Sales</v>
      </c>
      <c r="X77" s="84"/>
    </row>
    <row r="78" spans="1:24" x14ac:dyDescent="0.25">
      <c r="A78" s="86" t="s">
        <v>129</v>
      </c>
      <c r="B78" s="87" t="s">
        <v>177</v>
      </c>
      <c r="C78" s="87">
        <v>1</v>
      </c>
      <c r="D78" s="86" t="s">
        <v>122</v>
      </c>
      <c r="E78" s="86" t="s">
        <v>218</v>
      </c>
      <c r="F78" s="91">
        <f>('Smith Data'!$D$19)*0.25</f>
        <v>3145.6</v>
      </c>
      <c r="G78" s="86" t="s">
        <v>33</v>
      </c>
      <c r="H78" s="90">
        <f>'Smith Data'!$E$19</f>
        <v>-108.3695731319762</v>
      </c>
      <c r="I78" s="195">
        <f>('Smith Data'!$F$19)*0.25</f>
        <v>-340887.32924394432</v>
      </c>
      <c r="J78" s="86" t="s">
        <v>123</v>
      </c>
      <c r="K78" s="86" t="s">
        <v>118</v>
      </c>
      <c r="L78" s="86" t="s">
        <v>64</v>
      </c>
      <c r="M78" s="86" t="s">
        <v>267</v>
      </c>
      <c r="N78" s="192">
        <f t="shared" si="6"/>
        <v>-108.3695731319762</v>
      </c>
      <c r="O78" s="193">
        <f t="shared" si="7"/>
        <v>-340887.32924394432</v>
      </c>
      <c r="P78" s="134" t="s">
        <v>75</v>
      </c>
      <c r="Q78" s="134">
        <v>1</v>
      </c>
      <c r="R78" s="134" t="s">
        <v>185</v>
      </c>
      <c r="S78" s="96" t="s">
        <v>166</v>
      </c>
      <c r="T78" s="112" t="s">
        <v>86</v>
      </c>
      <c r="U78" s="84" t="s">
        <v>104</v>
      </c>
      <c r="V78" s="136">
        <v>11</v>
      </c>
      <c r="W78" s="84" t="str">
        <f t="shared" si="8"/>
        <v>312UND11MSSMITH-NON3145.6nt-108.369573131976Main Power Block - FE Sales</v>
      </c>
      <c r="X78" s="84"/>
    </row>
    <row r="79" spans="1:24" x14ac:dyDescent="0.25">
      <c r="A79" s="86" t="s">
        <v>139</v>
      </c>
      <c r="B79" s="87" t="s">
        <v>178</v>
      </c>
      <c r="C79" s="87">
        <v>1</v>
      </c>
      <c r="D79" s="86" t="s">
        <v>122</v>
      </c>
      <c r="E79" s="86" t="s">
        <v>218</v>
      </c>
      <c r="F79" s="91">
        <f>('Smith Data'!$D$19)*0.15</f>
        <v>1887.36</v>
      </c>
      <c r="G79" s="86" t="s">
        <v>33</v>
      </c>
      <c r="H79" s="90">
        <f>'Smith Data'!$E$19</f>
        <v>-108.3695731319762</v>
      </c>
      <c r="I79" s="195">
        <f>('Smith Data'!$F$19)*0.15</f>
        <v>-204532.39754636658</v>
      </c>
      <c r="J79" s="86" t="s">
        <v>123</v>
      </c>
      <c r="K79" s="86" t="s">
        <v>118</v>
      </c>
      <c r="L79" s="86" t="s">
        <v>64</v>
      </c>
      <c r="M79" s="86" t="s">
        <v>267</v>
      </c>
      <c r="N79" s="192">
        <f t="shared" si="6"/>
        <v>-108.3695731319762</v>
      </c>
      <c r="O79" s="193">
        <f t="shared" si="7"/>
        <v>-204532.39754636658</v>
      </c>
      <c r="P79" s="134" t="s">
        <v>75</v>
      </c>
      <c r="Q79" s="134">
        <v>1</v>
      </c>
      <c r="R79" s="134" t="s">
        <v>185</v>
      </c>
      <c r="S79" s="96" t="s">
        <v>166</v>
      </c>
      <c r="T79" s="112" t="s">
        <v>86</v>
      </c>
      <c r="U79" s="84" t="s">
        <v>104</v>
      </c>
      <c r="V79" s="136">
        <v>11</v>
      </c>
      <c r="W79" s="84" t="str">
        <f t="shared" si="8"/>
        <v>314UND11MSSMITH-NON1887.36nt-108.369573131976Main Power Block - FE Sales</v>
      </c>
      <c r="X79" s="84"/>
    </row>
    <row r="80" spans="1:24" x14ac:dyDescent="0.25">
      <c r="A80" s="86" t="s">
        <v>113</v>
      </c>
      <c r="B80" s="87" t="s">
        <v>169</v>
      </c>
      <c r="C80" s="87">
        <v>2</v>
      </c>
      <c r="D80" s="86" t="s">
        <v>124</v>
      </c>
      <c r="E80" s="86" t="s">
        <v>218</v>
      </c>
      <c r="F80" s="91">
        <f>('Smith Data'!$D$35)*0.6</f>
        <v>8564.7143999999989</v>
      </c>
      <c r="G80" s="86" t="s">
        <v>33</v>
      </c>
      <c r="H80" s="90">
        <f>'Smith Data'!$E$35</f>
        <v>-108.3695731319762</v>
      </c>
      <c r="I80" s="195">
        <f>('Smith Data'!$F$35)*0.6</f>
        <v>-928154.44352528953</v>
      </c>
      <c r="J80" s="86" t="s">
        <v>123</v>
      </c>
      <c r="K80" s="86" t="s">
        <v>118</v>
      </c>
      <c r="L80" s="86" t="s">
        <v>64</v>
      </c>
      <c r="M80" s="86" t="s">
        <v>267</v>
      </c>
      <c r="N80" s="192">
        <f t="shared" si="6"/>
        <v>-108.3695731319762</v>
      </c>
      <c r="O80" s="193">
        <f t="shared" si="7"/>
        <v>-928154.44352528953</v>
      </c>
      <c r="P80" s="134" t="s">
        <v>75</v>
      </c>
      <c r="Q80" s="134">
        <v>1</v>
      </c>
      <c r="R80" s="134" t="s">
        <v>185</v>
      </c>
      <c r="S80" s="96" t="s">
        <v>166</v>
      </c>
      <c r="T80" s="112" t="s">
        <v>86</v>
      </c>
      <c r="U80" s="84" t="s">
        <v>104</v>
      </c>
      <c r="V80" s="136">
        <v>25</v>
      </c>
      <c r="W80" s="84" t="str">
        <f t="shared" si="8"/>
        <v>311UND22MSSMITH-NON8564.7144nt-108.369573131976Main Power Block - FE Sales</v>
      </c>
      <c r="X80" s="84"/>
    </row>
    <row r="81" spans="1:24" s="77" customFormat="1" x14ac:dyDescent="0.25">
      <c r="A81" s="86" t="s">
        <v>129</v>
      </c>
      <c r="B81" s="87" t="s">
        <v>177</v>
      </c>
      <c r="C81" s="87">
        <v>2</v>
      </c>
      <c r="D81" s="86" t="s">
        <v>124</v>
      </c>
      <c r="E81" s="86" t="s">
        <v>218</v>
      </c>
      <c r="F81" s="91">
        <f>('Smith Data'!$D$35)*0.25</f>
        <v>3568.6309999999999</v>
      </c>
      <c r="G81" s="86" t="s">
        <v>33</v>
      </c>
      <c r="H81" s="90">
        <f>'Smith Data'!$E$35</f>
        <v>-108.3695731319762</v>
      </c>
      <c r="I81" s="195">
        <f>('Smith Data'!$F$35)*0.25</f>
        <v>-386731.01813553734</v>
      </c>
      <c r="J81" s="86" t="s">
        <v>123</v>
      </c>
      <c r="K81" s="86" t="s">
        <v>118</v>
      </c>
      <c r="L81" s="86" t="s">
        <v>64</v>
      </c>
      <c r="M81" s="86" t="s">
        <v>267</v>
      </c>
      <c r="N81" s="192">
        <f t="shared" si="6"/>
        <v>-108.3695731319762</v>
      </c>
      <c r="O81" s="193">
        <f t="shared" si="7"/>
        <v>-386731.01813553734</v>
      </c>
      <c r="P81" s="134" t="s">
        <v>75</v>
      </c>
      <c r="Q81" s="134">
        <v>1</v>
      </c>
      <c r="R81" s="134" t="s">
        <v>185</v>
      </c>
      <c r="S81" s="96" t="s">
        <v>166</v>
      </c>
      <c r="T81" s="112" t="s">
        <v>86</v>
      </c>
      <c r="U81" s="84" t="s">
        <v>104</v>
      </c>
      <c r="V81" s="136">
        <v>25</v>
      </c>
      <c r="W81" s="84" t="str">
        <f t="shared" si="8"/>
        <v>312UND22MSSMITH-NON3568.631nt-108.369573131976Main Power Block - FE Sales</v>
      </c>
      <c r="X81" s="84"/>
    </row>
    <row r="82" spans="1:24" s="77" customFormat="1" x14ac:dyDescent="0.25">
      <c r="A82" s="86" t="s">
        <v>139</v>
      </c>
      <c r="B82" s="87" t="s">
        <v>178</v>
      </c>
      <c r="C82" s="87">
        <v>2</v>
      </c>
      <c r="D82" s="86" t="s">
        <v>124</v>
      </c>
      <c r="E82" s="86" t="s">
        <v>218</v>
      </c>
      <c r="F82" s="91">
        <f>('Smith Data'!$D$35)*0.15</f>
        <v>2141.1785999999997</v>
      </c>
      <c r="G82" s="86" t="s">
        <v>33</v>
      </c>
      <c r="H82" s="90">
        <f>'Smith Data'!$E$35</f>
        <v>-108.3695731319762</v>
      </c>
      <c r="I82" s="195">
        <f>('Smith Data'!$F$35)*0.15</f>
        <v>-232038.61088132238</v>
      </c>
      <c r="J82" s="86" t="s">
        <v>123</v>
      </c>
      <c r="K82" s="86" t="s">
        <v>118</v>
      </c>
      <c r="L82" s="86" t="s">
        <v>64</v>
      </c>
      <c r="M82" s="86" t="s">
        <v>267</v>
      </c>
      <c r="N82" s="192">
        <f t="shared" si="6"/>
        <v>-108.3695731319762</v>
      </c>
      <c r="O82" s="193">
        <f t="shared" si="7"/>
        <v>-232038.61088132238</v>
      </c>
      <c r="P82" s="134" t="s">
        <v>75</v>
      </c>
      <c r="Q82" s="134">
        <v>1</v>
      </c>
      <c r="R82" s="134" t="s">
        <v>185</v>
      </c>
      <c r="S82" s="96" t="s">
        <v>166</v>
      </c>
      <c r="T82" s="112" t="s">
        <v>86</v>
      </c>
      <c r="U82" s="84" t="s">
        <v>104</v>
      </c>
      <c r="V82" s="136">
        <v>25</v>
      </c>
      <c r="W82" s="84" t="str">
        <f t="shared" si="8"/>
        <v>314UND22MSSMITH-NON2141.1786nt-108.369573131976Main Power Block - FE Sales</v>
      </c>
      <c r="X82" s="84"/>
    </row>
    <row r="83" spans="1:24" s="77" customFormat="1" x14ac:dyDescent="0.25">
      <c r="A83" s="86" t="s">
        <v>129</v>
      </c>
      <c r="B83" s="87" t="s">
        <v>177</v>
      </c>
      <c r="C83" s="87">
        <v>1</v>
      </c>
      <c r="D83" s="86" t="s">
        <v>122</v>
      </c>
      <c r="E83" s="86" t="s">
        <v>218</v>
      </c>
      <c r="F83" s="91">
        <f>'Smith Data'!$D$22</f>
        <v>152188.79999999999</v>
      </c>
      <c r="G83" s="86" t="s">
        <v>36</v>
      </c>
      <c r="H83" s="90">
        <f>'Smith Data'!$E$22</f>
        <v>-0.13699903999999999</v>
      </c>
      <c r="I83" s="195">
        <f>'Smith Data'!$F$22</f>
        <v>-27993.608897876642</v>
      </c>
      <c r="J83" s="86" t="s">
        <v>134</v>
      </c>
      <c r="K83" s="86" t="s">
        <v>135</v>
      </c>
      <c r="L83" s="86" t="s">
        <v>64</v>
      </c>
      <c r="M83" s="86" t="s">
        <v>267</v>
      </c>
      <c r="N83" s="192">
        <f t="shared" si="6"/>
        <v>-0.13699903999999999</v>
      </c>
      <c r="O83" s="193">
        <f t="shared" si="7"/>
        <v>-27993.608897876642</v>
      </c>
      <c r="P83" s="134" t="s">
        <v>75</v>
      </c>
      <c r="Q83" s="134">
        <v>1</v>
      </c>
      <c r="R83" s="134" t="s">
        <v>185</v>
      </c>
      <c r="S83" s="96" t="s">
        <v>166</v>
      </c>
      <c r="T83" s="112" t="s">
        <v>86</v>
      </c>
      <c r="U83" s="84" t="s">
        <v>104</v>
      </c>
      <c r="V83" s="136">
        <v>14</v>
      </c>
      <c r="W83" s="84" t="str">
        <f t="shared" si="8"/>
        <v>312UND11MSSMITH-NON152188.8lbs-0.13699904Main Power Block - SS Sales</v>
      </c>
      <c r="X83" s="84"/>
    </row>
    <row r="84" spans="1:24" x14ac:dyDescent="0.25">
      <c r="A84" s="86" t="s">
        <v>129</v>
      </c>
      <c r="B84" s="87" t="s">
        <v>177</v>
      </c>
      <c r="C84" s="87">
        <v>2</v>
      </c>
      <c r="D84" s="86" t="s">
        <v>124</v>
      </c>
      <c r="E84" s="86" t="s">
        <v>218</v>
      </c>
      <c r="F84" s="91">
        <f>'Smith Data'!$D$38</f>
        <v>172734.288</v>
      </c>
      <c r="G84" s="86" t="s">
        <v>36</v>
      </c>
      <c r="H84" s="90">
        <f>'Smith Data'!$E$38</f>
        <v>-0.13699903999999999</v>
      </c>
      <c r="I84" s="195">
        <f>'Smith Data'!$F$38</f>
        <v>-31772.746099089993</v>
      </c>
      <c r="J84" s="86" t="s">
        <v>134</v>
      </c>
      <c r="K84" s="86" t="s">
        <v>135</v>
      </c>
      <c r="L84" s="86" t="s">
        <v>64</v>
      </c>
      <c r="M84" s="86" t="s">
        <v>267</v>
      </c>
      <c r="N84" s="192">
        <f t="shared" si="6"/>
        <v>-0.13699903999999999</v>
      </c>
      <c r="O84" s="193">
        <f t="shared" si="7"/>
        <v>-31772.746099089993</v>
      </c>
      <c r="P84" s="134" t="s">
        <v>75</v>
      </c>
      <c r="Q84" s="134">
        <v>1</v>
      </c>
      <c r="R84" s="134" t="s">
        <v>185</v>
      </c>
      <c r="S84" s="96" t="s">
        <v>166</v>
      </c>
      <c r="T84" s="112" t="s">
        <v>86</v>
      </c>
      <c r="U84" s="84" t="s">
        <v>104</v>
      </c>
      <c r="V84" s="136">
        <v>28</v>
      </c>
      <c r="W84" s="84" t="str">
        <f t="shared" si="8"/>
        <v>312UND22MSSMITH-NON172734.288lbs-0.13699904Main Power Block - SS Sales</v>
      </c>
      <c r="X84" s="84"/>
    </row>
    <row r="85" spans="1:24" x14ac:dyDescent="0.25">
      <c r="A85" s="86" t="s">
        <v>139</v>
      </c>
      <c r="B85" s="87" t="s">
        <v>178</v>
      </c>
      <c r="C85" s="87">
        <v>1</v>
      </c>
      <c r="D85" s="86" t="s">
        <v>68</v>
      </c>
      <c r="E85" s="86" t="s">
        <v>218</v>
      </c>
      <c r="F85" s="91">
        <f>'Smith Data'!$D$23</f>
        <v>666.66666666666663</v>
      </c>
      <c r="G85" s="86" t="s">
        <v>40</v>
      </c>
      <c r="H85" s="90">
        <f>'Smith Data'!$E$23</f>
        <v>107.142</v>
      </c>
      <c r="I85" s="195">
        <f>'Smith Data'!$F$23</f>
        <v>70000</v>
      </c>
      <c r="J85" s="86" t="s">
        <v>140</v>
      </c>
      <c r="K85" s="86" t="s">
        <v>64</v>
      </c>
      <c r="L85" s="86" t="s">
        <v>64</v>
      </c>
      <c r="M85" s="86" t="s">
        <v>140</v>
      </c>
      <c r="N85" s="192">
        <f t="shared" si="6"/>
        <v>107.142</v>
      </c>
      <c r="O85" s="193">
        <f t="shared" si="7"/>
        <v>70000</v>
      </c>
      <c r="P85" s="134" t="s">
        <v>75</v>
      </c>
      <c r="Q85" s="134">
        <v>1</v>
      </c>
      <c r="R85" s="134" t="s">
        <v>185</v>
      </c>
      <c r="S85" s="96" t="s">
        <v>162</v>
      </c>
      <c r="T85" s="112" t="s">
        <v>86</v>
      </c>
      <c r="U85" s="84" t="s">
        <v>104</v>
      </c>
      <c r="V85" s="136">
        <v>15</v>
      </c>
      <c r="W85" s="84" t="str">
        <f t="shared" si="8"/>
        <v>314UND11LRSMITH-NON666.666666666667cy107.142Main Power Block - Turbine Foundations Concrete</v>
      </c>
      <c r="X85" s="84"/>
    </row>
    <row r="86" spans="1:24" s="77" customFormat="1" x14ac:dyDescent="0.25">
      <c r="A86" s="86" t="s">
        <v>139</v>
      </c>
      <c r="B86" s="87" t="s">
        <v>178</v>
      </c>
      <c r="C86" s="87">
        <v>2</v>
      </c>
      <c r="D86" s="86" t="s">
        <v>69</v>
      </c>
      <c r="E86" s="86" t="s">
        <v>218</v>
      </c>
      <c r="F86" s="91">
        <f>'Smith Data'!$D$39</f>
        <v>799.99999999999989</v>
      </c>
      <c r="G86" s="86" t="s">
        <v>40</v>
      </c>
      <c r="H86" s="90">
        <f>'Smith Data'!$E$39</f>
        <v>107.142</v>
      </c>
      <c r="I86" s="195">
        <f>'Smith Data'!$F$39</f>
        <v>83999.999999999985</v>
      </c>
      <c r="J86" s="86" t="s">
        <v>140</v>
      </c>
      <c r="K86" s="86" t="s">
        <v>64</v>
      </c>
      <c r="L86" s="86" t="s">
        <v>64</v>
      </c>
      <c r="M86" s="86" t="s">
        <v>140</v>
      </c>
      <c r="N86" s="192">
        <f t="shared" si="6"/>
        <v>107.142</v>
      </c>
      <c r="O86" s="193">
        <f t="shared" si="7"/>
        <v>83999.999999999985</v>
      </c>
      <c r="P86" s="134" t="s">
        <v>75</v>
      </c>
      <c r="Q86" s="134">
        <v>1</v>
      </c>
      <c r="R86" s="134" t="s">
        <v>185</v>
      </c>
      <c r="S86" s="96" t="s">
        <v>162</v>
      </c>
      <c r="T86" s="112" t="s">
        <v>86</v>
      </c>
      <c r="U86" s="84" t="s">
        <v>104</v>
      </c>
      <c r="V86" s="136">
        <v>29</v>
      </c>
      <c r="W86" s="84" t="str">
        <f t="shared" si="8"/>
        <v>314UND22LRSMITH-NON800cy107.142Main Power Block - Turbine Foundations Concrete</v>
      </c>
      <c r="X86" s="84"/>
    </row>
    <row r="87" spans="1:24" s="117" customFormat="1" x14ac:dyDescent="0.25">
      <c r="A87" s="86" t="s">
        <v>105</v>
      </c>
      <c r="B87" s="87" t="s">
        <v>169</v>
      </c>
      <c r="C87" s="87" t="s">
        <v>73</v>
      </c>
      <c r="D87" s="86" t="s">
        <v>74</v>
      </c>
      <c r="E87" s="86" t="s">
        <v>218</v>
      </c>
      <c r="F87" s="91">
        <f>'Smith Data'!$D$11</f>
        <v>50000</v>
      </c>
      <c r="G87" s="86" t="s">
        <v>27</v>
      </c>
      <c r="H87" s="90">
        <v>2500</v>
      </c>
      <c r="I87" s="195">
        <f>'Smith Data'!$F$11</f>
        <v>225000</v>
      </c>
      <c r="J87" s="86" t="s">
        <v>26</v>
      </c>
      <c r="K87" s="86" t="s">
        <v>64</v>
      </c>
      <c r="L87" s="86" t="s">
        <v>64</v>
      </c>
      <c r="M87" s="86" t="s">
        <v>26</v>
      </c>
      <c r="N87" s="192">
        <f t="shared" si="6"/>
        <v>2500</v>
      </c>
      <c r="O87" s="193">
        <f t="shared" si="7"/>
        <v>225000</v>
      </c>
      <c r="P87" s="134" t="s">
        <v>75</v>
      </c>
      <c r="Q87" s="134">
        <v>1</v>
      </c>
      <c r="R87" s="134" t="s">
        <v>185</v>
      </c>
      <c r="S87" s="96" t="s">
        <v>162</v>
      </c>
      <c r="T87" s="112" t="s">
        <v>86</v>
      </c>
      <c r="U87" s="84" t="s">
        <v>104</v>
      </c>
      <c r="V87" s="136">
        <v>5</v>
      </c>
      <c r="W87" s="84" t="str">
        <f t="shared" si="8"/>
        <v>3110061CCLRSMITH-NON50000sf2500Pavement Repairs</v>
      </c>
      <c r="X87" s="84"/>
    </row>
    <row r="88" spans="1:24" s="117" customFormat="1" x14ac:dyDescent="0.25">
      <c r="A88" s="86" t="s">
        <v>98</v>
      </c>
      <c r="B88" s="87" t="s">
        <v>170</v>
      </c>
      <c r="C88" s="87" t="s">
        <v>73</v>
      </c>
      <c r="D88" s="86" t="s">
        <v>74</v>
      </c>
      <c r="E88" s="86" t="s">
        <v>218</v>
      </c>
      <c r="F88" s="88">
        <v>1</v>
      </c>
      <c r="G88" s="86" t="s">
        <v>21</v>
      </c>
      <c r="H88" s="90">
        <f>'Smith Data'!$E$6</f>
        <v>150000</v>
      </c>
      <c r="I88" s="195">
        <f>'Smith Data'!$F$6</f>
        <v>150000</v>
      </c>
      <c r="J88" s="86" t="s">
        <v>22</v>
      </c>
      <c r="K88" s="86" t="s">
        <v>64</v>
      </c>
      <c r="L88" s="86" t="s">
        <v>64</v>
      </c>
      <c r="M88" s="86" t="s">
        <v>22</v>
      </c>
      <c r="N88" s="192">
        <f t="shared" si="6"/>
        <v>150000</v>
      </c>
      <c r="O88" s="193">
        <f t="shared" si="7"/>
        <v>150000</v>
      </c>
      <c r="P88" s="134" t="s">
        <v>75</v>
      </c>
      <c r="Q88" s="134">
        <v>1</v>
      </c>
      <c r="R88" s="134" t="s">
        <v>185</v>
      </c>
      <c r="S88" s="96" t="s">
        <v>162</v>
      </c>
      <c r="T88" s="112" t="s">
        <v>86</v>
      </c>
      <c r="U88" s="84"/>
      <c r="V88" s="136">
        <v>2</v>
      </c>
      <c r="W88" s="84" t="str">
        <f t="shared" si="8"/>
        <v>3080268EACCLRSMITH-NON1ls150000Perform environmental survey of above grade structures</v>
      </c>
      <c r="X88" s="84"/>
    </row>
    <row r="89" spans="1:24" s="117" customFormat="1" x14ac:dyDescent="0.25">
      <c r="A89" s="86" t="s">
        <v>96</v>
      </c>
      <c r="B89" s="87" t="s">
        <v>170</v>
      </c>
      <c r="C89" s="87" t="s">
        <v>73</v>
      </c>
      <c r="D89" s="86" t="s">
        <v>74</v>
      </c>
      <c r="E89" s="86" t="s">
        <v>226</v>
      </c>
      <c r="F89" s="88">
        <v>1</v>
      </c>
      <c r="G89" s="86" t="s">
        <v>84</v>
      </c>
      <c r="H89" s="90">
        <f>SUMIFS($I$3:$I$129,$E$3:$E$129,$E89,$U$3:$U$129,"MARKUP",$S$3:$S$129,"REMOVAL")*0.0008</f>
        <v>1685.2336</v>
      </c>
      <c r="I89" s="194">
        <f>F89*H89</f>
        <v>1685.2336</v>
      </c>
      <c r="J89" s="108" t="s">
        <v>97</v>
      </c>
      <c r="K89" s="86" t="s">
        <v>64</v>
      </c>
      <c r="L89" s="86" t="s">
        <v>64</v>
      </c>
      <c r="M89" s="86" t="s">
        <v>97</v>
      </c>
      <c r="N89" s="192">
        <f t="shared" si="6"/>
        <v>1685.2336</v>
      </c>
      <c r="O89" s="193">
        <f t="shared" si="7"/>
        <v>1685.2336</v>
      </c>
      <c r="P89" s="134" t="s">
        <v>76</v>
      </c>
      <c r="Q89" s="134">
        <v>1</v>
      </c>
      <c r="R89" s="134" t="s">
        <v>185</v>
      </c>
      <c r="S89" s="96" t="s">
        <v>162</v>
      </c>
      <c r="T89" s="84" t="s">
        <v>67</v>
      </c>
      <c r="U89" s="84"/>
      <c r="V89" s="136"/>
      <c r="W89" s="84" t="str">
        <f t="shared" si="8"/>
        <v>3080268CCLRSMITH-ASB1LT1685.2336PERMITS</v>
      </c>
      <c r="X89" s="84"/>
    </row>
    <row r="90" spans="1:24" s="117" customFormat="1" x14ac:dyDescent="0.25">
      <c r="A90" s="86" t="s">
        <v>96</v>
      </c>
      <c r="B90" s="87" t="s">
        <v>170</v>
      </c>
      <c r="C90" s="87" t="s">
        <v>73</v>
      </c>
      <c r="D90" s="86" t="s">
        <v>74</v>
      </c>
      <c r="E90" s="86" t="s">
        <v>217</v>
      </c>
      <c r="F90" s="88">
        <v>1</v>
      </c>
      <c r="G90" s="86" t="s">
        <v>84</v>
      </c>
      <c r="H90" s="90">
        <f>SUMIFS($I$3:$I$129,$E$3:$E$129,$E90,$U$3:$U$129,"MARKUP",$S$3:$S$129,"REMOVAL")*0.0008</f>
        <v>288</v>
      </c>
      <c r="I90" s="90">
        <f>F90*H90</f>
        <v>288</v>
      </c>
      <c r="J90" s="108" t="s">
        <v>97</v>
      </c>
      <c r="K90" s="86" t="s">
        <v>64</v>
      </c>
      <c r="L90" s="86" t="s">
        <v>64</v>
      </c>
      <c r="M90" s="86" t="s">
        <v>97</v>
      </c>
      <c r="N90" s="192">
        <f t="shared" si="6"/>
        <v>288</v>
      </c>
      <c r="O90" s="193">
        <f t="shared" si="7"/>
        <v>288</v>
      </c>
      <c r="P90" s="134" t="s">
        <v>66</v>
      </c>
      <c r="Q90" s="134">
        <v>1</v>
      </c>
      <c r="R90" s="134" t="s">
        <v>185</v>
      </c>
      <c r="S90" s="96" t="s">
        <v>162</v>
      </c>
      <c r="T90" s="112" t="s">
        <v>67</v>
      </c>
      <c r="U90" s="84"/>
      <c r="V90" s="84"/>
      <c r="W90" s="84" t="str">
        <f t="shared" si="8"/>
        <v>3080268CCLRSMITH-ECO1LT288PERMITS</v>
      </c>
      <c r="X90" s="84"/>
    </row>
    <row r="91" spans="1:24" s="117" customFormat="1" x14ac:dyDescent="0.25">
      <c r="A91" s="86" t="s">
        <v>96</v>
      </c>
      <c r="B91" s="87" t="s">
        <v>170</v>
      </c>
      <c r="C91" s="87" t="s">
        <v>73</v>
      </c>
      <c r="D91" s="86" t="s">
        <v>74</v>
      </c>
      <c r="E91" s="86" t="s">
        <v>218</v>
      </c>
      <c r="F91" s="88">
        <v>1</v>
      </c>
      <c r="G91" s="86" t="s">
        <v>84</v>
      </c>
      <c r="H91" s="90">
        <f>SUMIFS($I$3:$I$129,$E$3:$E$129,$E91,$U$3:$U$129,"MARKUP",$S$3:$S$129,"REMOVAL")*0.0008</f>
        <v>7846.5460243380148</v>
      </c>
      <c r="I91" s="90">
        <f>F91*H91</f>
        <v>7846.5460243380148</v>
      </c>
      <c r="J91" s="108" t="s">
        <v>97</v>
      </c>
      <c r="K91" s="86" t="s">
        <v>64</v>
      </c>
      <c r="L91" s="86" t="s">
        <v>64</v>
      </c>
      <c r="M91" s="86" t="s">
        <v>97</v>
      </c>
      <c r="N91" s="192">
        <f t="shared" si="6"/>
        <v>7846.5460243380148</v>
      </c>
      <c r="O91" s="193">
        <f t="shared" si="7"/>
        <v>7846.5460243380148</v>
      </c>
      <c r="P91" s="134" t="s">
        <v>75</v>
      </c>
      <c r="Q91" s="134">
        <v>1</v>
      </c>
      <c r="R91" s="134" t="s">
        <v>185</v>
      </c>
      <c r="S91" s="96" t="s">
        <v>162</v>
      </c>
      <c r="T91" s="112" t="s">
        <v>67</v>
      </c>
      <c r="U91" s="84"/>
      <c r="V91" s="84"/>
      <c r="W91" s="84" t="str">
        <f t="shared" si="8"/>
        <v>3080268CCLRSMITH-NON1LT7846.54602433801PERMITS</v>
      </c>
      <c r="X91" s="84"/>
    </row>
    <row r="92" spans="1:24" s="117" customFormat="1" x14ac:dyDescent="0.25">
      <c r="A92" s="86" t="s">
        <v>78</v>
      </c>
      <c r="B92" s="87" t="s">
        <v>172</v>
      </c>
      <c r="C92" s="87" t="s">
        <v>73</v>
      </c>
      <c r="D92" s="86" t="s">
        <v>74</v>
      </c>
      <c r="E92" s="86" t="s">
        <v>218</v>
      </c>
      <c r="F92" s="88">
        <v>4</v>
      </c>
      <c r="G92" s="86" t="s">
        <v>79</v>
      </c>
      <c r="H92" s="90">
        <v>135010.76</v>
      </c>
      <c r="I92" s="90">
        <f>F92*H92</f>
        <v>540043.04</v>
      </c>
      <c r="J92" s="86" t="s">
        <v>80</v>
      </c>
      <c r="K92" s="86" t="s">
        <v>64</v>
      </c>
      <c r="L92" s="86" t="s">
        <v>64</v>
      </c>
      <c r="M92" s="86" t="s">
        <v>80</v>
      </c>
      <c r="N92" s="192">
        <f t="shared" si="6"/>
        <v>135010.76</v>
      </c>
      <c r="O92" s="193">
        <f t="shared" si="7"/>
        <v>540043.04</v>
      </c>
      <c r="P92" s="134" t="s">
        <v>75</v>
      </c>
      <c r="Q92" s="134">
        <v>1</v>
      </c>
      <c r="R92" s="134" t="s">
        <v>185</v>
      </c>
      <c r="S92" s="96" t="s">
        <v>162</v>
      </c>
      <c r="T92" s="112" t="s">
        <v>67</v>
      </c>
      <c r="U92" s="84"/>
      <c r="V92" s="84"/>
      <c r="W92" s="84" t="str">
        <f t="shared" si="8"/>
        <v>3070041CCLRSMITH-NON4MY135010.76POWER GENERATION SUPERVISION</v>
      </c>
      <c r="X92" s="84"/>
    </row>
    <row r="93" spans="1:24" s="117" customFormat="1" x14ac:dyDescent="0.25">
      <c r="A93" s="86" t="s">
        <v>129</v>
      </c>
      <c r="B93" s="87" t="s">
        <v>177</v>
      </c>
      <c r="C93" s="87">
        <v>1</v>
      </c>
      <c r="D93" s="86" t="s">
        <v>68</v>
      </c>
      <c r="E93" s="103" t="s">
        <v>217</v>
      </c>
      <c r="F93" s="91">
        <f>'Smith Data'!$D$49</f>
        <v>750</v>
      </c>
      <c r="G93" s="86" t="s">
        <v>33</v>
      </c>
      <c r="H93" s="90">
        <f>'Smith Data'!$E$49</f>
        <v>244.89599999999999</v>
      </c>
      <c r="I93" s="195">
        <f>'Smith Data'!$F$49</f>
        <v>180000</v>
      </c>
      <c r="J93" s="86" t="s">
        <v>136</v>
      </c>
      <c r="K93" s="86" t="s">
        <v>64</v>
      </c>
      <c r="L93" s="86" t="s">
        <v>64</v>
      </c>
      <c r="M93" s="86" t="s">
        <v>136</v>
      </c>
      <c r="N93" s="192">
        <f t="shared" si="6"/>
        <v>244.89599999999999</v>
      </c>
      <c r="O93" s="193">
        <f t="shared" si="7"/>
        <v>180000</v>
      </c>
      <c r="P93" s="134" t="s">
        <v>66</v>
      </c>
      <c r="Q93" s="134">
        <v>1</v>
      </c>
      <c r="R93" s="134" t="s">
        <v>185</v>
      </c>
      <c r="S93" s="96" t="s">
        <v>162</v>
      </c>
      <c r="T93" s="112" t="s">
        <v>86</v>
      </c>
      <c r="U93" s="84" t="s">
        <v>104</v>
      </c>
      <c r="V93" s="136">
        <v>36</v>
      </c>
      <c r="W93" s="84" t="str">
        <f t="shared" si="8"/>
        <v>312UND11LRSMITH-ECO750nt244.896Precipitators - DEMO</v>
      </c>
      <c r="X93" s="84"/>
    </row>
    <row r="94" spans="1:24" s="117" customFormat="1" x14ac:dyDescent="0.25">
      <c r="A94" s="86" t="s">
        <v>129</v>
      </c>
      <c r="B94" s="87" t="s">
        <v>177</v>
      </c>
      <c r="C94" s="87">
        <v>2</v>
      </c>
      <c r="D94" s="86" t="s">
        <v>69</v>
      </c>
      <c r="E94" s="103" t="s">
        <v>217</v>
      </c>
      <c r="F94" s="91">
        <f>'Smith Data'!$D$53</f>
        <v>750</v>
      </c>
      <c r="G94" s="86" t="s">
        <v>33</v>
      </c>
      <c r="H94" s="90">
        <f>'Smith Data'!$E$53</f>
        <v>244.89599999999999</v>
      </c>
      <c r="I94" s="195">
        <f>'Smith Data'!$F$53</f>
        <v>180000</v>
      </c>
      <c r="J94" s="86" t="s">
        <v>136</v>
      </c>
      <c r="K94" s="86" t="s">
        <v>64</v>
      </c>
      <c r="L94" s="86" t="s">
        <v>64</v>
      </c>
      <c r="M94" s="86" t="s">
        <v>136</v>
      </c>
      <c r="N94" s="192">
        <f t="shared" si="6"/>
        <v>244.89599999999999</v>
      </c>
      <c r="O94" s="193">
        <f t="shared" si="7"/>
        <v>180000</v>
      </c>
      <c r="P94" s="134" t="s">
        <v>66</v>
      </c>
      <c r="Q94" s="134">
        <v>1</v>
      </c>
      <c r="R94" s="134" t="s">
        <v>185</v>
      </c>
      <c r="S94" s="96" t="s">
        <v>162</v>
      </c>
      <c r="T94" s="112" t="s">
        <v>86</v>
      </c>
      <c r="U94" s="84" t="s">
        <v>104</v>
      </c>
      <c r="V94" s="136">
        <v>38</v>
      </c>
      <c r="W94" s="84" t="str">
        <f t="shared" si="8"/>
        <v>312UND22LRSMITH-ECO750nt244.896Precipitators - DEMO</v>
      </c>
      <c r="X94" s="84"/>
    </row>
    <row r="95" spans="1:24" s="117" customFormat="1" x14ac:dyDescent="0.25">
      <c r="A95" s="86" t="s">
        <v>129</v>
      </c>
      <c r="B95" s="87" t="s">
        <v>177</v>
      </c>
      <c r="C95" s="87">
        <v>1</v>
      </c>
      <c r="D95" s="86" t="s">
        <v>122</v>
      </c>
      <c r="E95" s="103" t="s">
        <v>217</v>
      </c>
      <c r="F95" s="91">
        <f>'Smith Data'!$D$50</f>
        <v>750</v>
      </c>
      <c r="G95" s="86" t="s">
        <v>33</v>
      </c>
      <c r="H95" s="90">
        <f>'Smith Data'!$E$50</f>
        <v>-108.3695731319762</v>
      </c>
      <c r="I95" s="195">
        <f>'Smith Data'!$F$50</f>
        <v>-135394.73684210525</v>
      </c>
      <c r="J95" s="86" t="s">
        <v>137</v>
      </c>
      <c r="K95" s="86" t="s">
        <v>118</v>
      </c>
      <c r="L95" s="86" t="s">
        <v>64</v>
      </c>
      <c r="M95" s="86" t="s">
        <v>267</v>
      </c>
      <c r="N95" s="192">
        <f t="shared" si="6"/>
        <v>-108.3695731319762</v>
      </c>
      <c r="O95" s="193">
        <f t="shared" si="7"/>
        <v>-135394.73684210525</v>
      </c>
      <c r="P95" s="134" t="s">
        <v>66</v>
      </c>
      <c r="Q95" s="134">
        <v>1</v>
      </c>
      <c r="R95" s="134" t="s">
        <v>185</v>
      </c>
      <c r="S95" s="96" t="s">
        <v>166</v>
      </c>
      <c r="T95" s="112" t="s">
        <v>86</v>
      </c>
      <c r="U95" s="84" t="s">
        <v>104</v>
      </c>
      <c r="V95" s="136">
        <v>37</v>
      </c>
      <c r="W95" s="84" t="str">
        <f t="shared" si="8"/>
        <v>312UND11MSSMITH-ECO750nt-108.369573131976Precipitators - FE Sales</v>
      </c>
      <c r="X95" s="84"/>
    </row>
    <row r="96" spans="1:24" s="117" customFormat="1" x14ac:dyDescent="0.25">
      <c r="A96" s="86" t="s">
        <v>129</v>
      </c>
      <c r="B96" s="87" t="s">
        <v>177</v>
      </c>
      <c r="C96" s="87">
        <v>2</v>
      </c>
      <c r="D96" s="86" t="s">
        <v>124</v>
      </c>
      <c r="E96" s="103" t="s">
        <v>217</v>
      </c>
      <c r="F96" s="91">
        <f>'Smith Data'!$D$54</f>
        <v>750</v>
      </c>
      <c r="G96" s="86" t="s">
        <v>33</v>
      </c>
      <c r="H96" s="90">
        <f>'Smith Data'!$E$54</f>
        <v>-108.3695731319762</v>
      </c>
      <c r="I96" s="195">
        <f>'Smith Data'!$F$54</f>
        <v>-135394.73684210525</v>
      </c>
      <c r="J96" s="86" t="s">
        <v>137</v>
      </c>
      <c r="K96" s="86" t="s">
        <v>118</v>
      </c>
      <c r="L96" s="86" t="s">
        <v>64</v>
      </c>
      <c r="M96" s="86" t="s">
        <v>267</v>
      </c>
      <c r="N96" s="192">
        <f t="shared" si="6"/>
        <v>-108.3695731319762</v>
      </c>
      <c r="O96" s="193">
        <f t="shared" si="7"/>
        <v>-135394.73684210525</v>
      </c>
      <c r="P96" s="134" t="s">
        <v>66</v>
      </c>
      <c r="Q96" s="134">
        <v>1</v>
      </c>
      <c r="R96" s="134" t="s">
        <v>185</v>
      </c>
      <c r="S96" s="96" t="s">
        <v>166</v>
      </c>
      <c r="T96" s="112" t="s">
        <v>86</v>
      </c>
      <c r="U96" s="84" t="s">
        <v>104</v>
      </c>
      <c r="V96" s="136">
        <v>39</v>
      </c>
      <c r="W96" s="84" t="str">
        <f t="shared" si="8"/>
        <v>312UND22MSSMITH-ECO750nt-108.369573131976Precipitators - FE Sales</v>
      </c>
      <c r="X96" s="84"/>
    </row>
    <row r="97" spans="1:24" s="117" customFormat="1" x14ac:dyDescent="0.25">
      <c r="A97" s="86" t="s">
        <v>108</v>
      </c>
      <c r="B97" s="87" t="s">
        <v>169</v>
      </c>
      <c r="C97" s="87">
        <v>1</v>
      </c>
      <c r="D97" s="86" t="s">
        <v>109</v>
      </c>
      <c r="E97" s="86" t="s">
        <v>218</v>
      </c>
      <c r="F97" s="91">
        <f>'Smith Data'!$D$27</f>
        <v>18000</v>
      </c>
      <c r="G97" s="86" t="s">
        <v>33</v>
      </c>
      <c r="H97" s="90">
        <f>'Smith Data'!$E$27</f>
        <v>15.305999999999999</v>
      </c>
      <c r="I97" s="195">
        <f>'Smith Data'!$F$27</f>
        <v>270000</v>
      </c>
      <c r="J97" s="86" t="s">
        <v>110</v>
      </c>
      <c r="K97" s="86" t="s">
        <v>64</v>
      </c>
      <c r="L97" s="86" t="s">
        <v>64</v>
      </c>
      <c r="M97" s="86" t="s">
        <v>110</v>
      </c>
      <c r="N97" s="192">
        <f t="shared" si="6"/>
        <v>15.305999999999999</v>
      </c>
      <c r="O97" s="193">
        <f t="shared" si="7"/>
        <v>270000</v>
      </c>
      <c r="P97" s="134" t="s">
        <v>75</v>
      </c>
      <c r="Q97" s="134">
        <v>1</v>
      </c>
      <c r="R97" s="134" t="s">
        <v>185</v>
      </c>
      <c r="S97" s="96" t="s">
        <v>167</v>
      </c>
      <c r="T97" s="112" t="s">
        <v>86</v>
      </c>
      <c r="U97" s="84" t="s">
        <v>104</v>
      </c>
      <c r="V97" s="136">
        <v>19</v>
      </c>
      <c r="W97" s="84" t="str">
        <f>A126&amp;C126&amp;D126&amp;E126&amp;F126&amp;G126&amp;H126&amp;J126</f>
        <v>311UNDCCLRSMITH-NON1ls100000Utility Disconnects</v>
      </c>
      <c r="X97" s="84"/>
    </row>
    <row r="98" spans="1:24" s="117" customFormat="1" x14ac:dyDescent="0.25">
      <c r="A98" s="86" t="s">
        <v>108</v>
      </c>
      <c r="B98" s="87" t="s">
        <v>169</v>
      </c>
      <c r="C98" s="87">
        <v>2</v>
      </c>
      <c r="D98" s="86" t="s">
        <v>111</v>
      </c>
      <c r="E98" s="86" t="s">
        <v>218</v>
      </c>
      <c r="F98" s="91">
        <f>'Smith Data'!$D$42</f>
        <v>15000</v>
      </c>
      <c r="G98" s="86" t="s">
        <v>33</v>
      </c>
      <c r="H98" s="90">
        <f>'Smith Data'!$E$42</f>
        <v>15.305999999999999</v>
      </c>
      <c r="I98" s="195">
        <f>'Smith Data'!$F$42</f>
        <v>225000</v>
      </c>
      <c r="J98" s="86" t="s">
        <v>110</v>
      </c>
      <c r="K98" s="86" t="s">
        <v>64</v>
      </c>
      <c r="L98" s="86" t="s">
        <v>64</v>
      </c>
      <c r="M98" s="86" t="s">
        <v>110</v>
      </c>
      <c r="N98" s="192">
        <f t="shared" si="6"/>
        <v>15.305999999999999</v>
      </c>
      <c r="O98" s="193">
        <f t="shared" si="7"/>
        <v>225000</v>
      </c>
      <c r="P98" s="134" t="s">
        <v>75</v>
      </c>
      <c r="Q98" s="134">
        <v>1</v>
      </c>
      <c r="R98" s="134" t="s">
        <v>185</v>
      </c>
      <c r="S98" s="96" t="s">
        <v>167</v>
      </c>
      <c r="T98" s="112" t="s">
        <v>86</v>
      </c>
      <c r="U98" s="84" t="s">
        <v>104</v>
      </c>
      <c r="V98" s="136">
        <v>32</v>
      </c>
      <c r="W98" s="84" t="str">
        <f t="shared" ref="W98:W129" si="9">A98&amp;C98&amp;D98&amp;E98&amp;F98&amp;G98&amp;H98&amp;J98</f>
        <v>3111002CN22LDSMITH-NON15000nt15.306Process, haul and backfill brick &amp; block</v>
      </c>
      <c r="X98" s="84"/>
    </row>
    <row r="99" spans="1:24" s="117" customFormat="1" x14ac:dyDescent="0.25">
      <c r="A99" s="111">
        <v>3080241</v>
      </c>
      <c r="B99" s="87" t="s">
        <v>170</v>
      </c>
      <c r="C99" s="87" t="s">
        <v>73</v>
      </c>
      <c r="D99" s="86" t="s">
        <v>74</v>
      </c>
      <c r="E99" s="86" t="s">
        <v>226</v>
      </c>
      <c r="F99" s="88">
        <v>1</v>
      </c>
      <c r="G99" s="86" t="s">
        <v>14</v>
      </c>
      <c r="H99" s="90">
        <f>SUMIFS($I$3:$I$129,$E$3:$E$129,$E99,$U$3:$U$129,"MARKUP",$S$3:$S$129,"REMOVAL")*0.01</f>
        <v>21065.420000000002</v>
      </c>
      <c r="I99" s="194">
        <f>F99*H99</f>
        <v>21065.420000000002</v>
      </c>
      <c r="J99" s="110" t="s">
        <v>92</v>
      </c>
      <c r="K99" s="86" t="s">
        <v>64</v>
      </c>
      <c r="L99" s="86" t="s">
        <v>64</v>
      </c>
      <c r="M99" s="86" t="s">
        <v>95</v>
      </c>
      <c r="N99" s="192">
        <f t="shared" ref="N99:N129" si="10">H99</f>
        <v>21065.420000000002</v>
      </c>
      <c r="O99" s="193">
        <f t="shared" ref="O99:O129" si="11">I99</f>
        <v>21065.420000000002</v>
      </c>
      <c r="P99" s="134" t="s">
        <v>76</v>
      </c>
      <c r="Q99" s="134">
        <v>1</v>
      </c>
      <c r="R99" s="134" t="s">
        <v>185</v>
      </c>
      <c r="S99" s="96" t="s">
        <v>162</v>
      </c>
      <c r="T99" s="84" t="s">
        <v>67</v>
      </c>
      <c r="U99" s="84"/>
      <c r="V99" s="136"/>
      <c r="W99" s="84" t="str">
        <f t="shared" si="9"/>
        <v>3080241CCLRSMITH-ASB1%21065.42SCS ENGINEERING</v>
      </c>
      <c r="X99" s="84"/>
    </row>
    <row r="100" spans="1:24" s="117" customFormat="1" x14ac:dyDescent="0.25">
      <c r="A100" s="111">
        <v>3080241</v>
      </c>
      <c r="B100" s="87" t="s">
        <v>170</v>
      </c>
      <c r="C100" s="87" t="s">
        <v>73</v>
      </c>
      <c r="D100" s="86" t="s">
        <v>74</v>
      </c>
      <c r="E100" s="86" t="s">
        <v>217</v>
      </c>
      <c r="F100" s="106">
        <v>3</v>
      </c>
      <c r="G100" s="86" t="s">
        <v>14</v>
      </c>
      <c r="H100" s="90">
        <f>SUMIFS($I$3:$I$129,$E$3:$E$129,$E100,$U$3:$U$129,"MARKUP",$S$3:$S$129,"REMOVAL")*0.01</f>
        <v>3600</v>
      </c>
      <c r="I100" s="90">
        <f>F100*H100</f>
        <v>10800</v>
      </c>
      <c r="J100" s="110" t="s">
        <v>92</v>
      </c>
      <c r="K100" s="86" t="s">
        <v>64</v>
      </c>
      <c r="L100" s="86" t="s">
        <v>64</v>
      </c>
      <c r="M100" s="86" t="s">
        <v>95</v>
      </c>
      <c r="N100" s="192">
        <f t="shared" si="10"/>
        <v>3600</v>
      </c>
      <c r="O100" s="193">
        <f t="shared" si="11"/>
        <v>10800</v>
      </c>
      <c r="P100" s="134" t="s">
        <v>66</v>
      </c>
      <c r="Q100" s="134">
        <v>1</v>
      </c>
      <c r="R100" s="134" t="s">
        <v>185</v>
      </c>
      <c r="S100" s="96" t="s">
        <v>162</v>
      </c>
      <c r="T100" s="112" t="s">
        <v>67</v>
      </c>
      <c r="U100" s="84"/>
      <c r="V100" s="84"/>
      <c r="W100" s="84" t="str">
        <f t="shared" si="9"/>
        <v>3080241CCLRSMITH-ECO3%3600SCS ENGINEERING</v>
      </c>
      <c r="X100" s="84"/>
    </row>
    <row r="101" spans="1:24" s="117" customFormat="1" x14ac:dyDescent="0.25">
      <c r="A101" s="111">
        <v>3080241</v>
      </c>
      <c r="B101" s="87" t="s">
        <v>170</v>
      </c>
      <c r="C101" s="87" t="s">
        <v>73</v>
      </c>
      <c r="D101" s="86" t="s">
        <v>74</v>
      </c>
      <c r="E101" s="86" t="s">
        <v>218</v>
      </c>
      <c r="F101" s="106">
        <v>3</v>
      </c>
      <c r="G101" s="86" t="s">
        <v>14</v>
      </c>
      <c r="H101" s="90">
        <f>SUMIFS($I$3:$I$129,$E$3:$E$129,$E101,$U$3:$U$129,"MARKUP",$S$3:$S$129,"REMOVAL")*0.01</f>
        <v>98081.825304225189</v>
      </c>
      <c r="I101" s="90">
        <f>F101*H101</f>
        <v>294245.47591267555</v>
      </c>
      <c r="J101" s="110" t="s">
        <v>92</v>
      </c>
      <c r="K101" s="86" t="s">
        <v>64</v>
      </c>
      <c r="L101" s="86" t="s">
        <v>64</v>
      </c>
      <c r="M101" s="86" t="s">
        <v>95</v>
      </c>
      <c r="N101" s="192">
        <f t="shared" si="10"/>
        <v>98081.825304225189</v>
      </c>
      <c r="O101" s="193">
        <f t="shared" si="11"/>
        <v>294245.47591267555</v>
      </c>
      <c r="P101" s="134" t="s">
        <v>75</v>
      </c>
      <c r="Q101" s="134">
        <v>1</v>
      </c>
      <c r="R101" s="134" t="s">
        <v>185</v>
      </c>
      <c r="S101" s="96" t="s">
        <v>162</v>
      </c>
      <c r="T101" s="112" t="s">
        <v>67</v>
      </c>
      <c r="U101" s="84"/>
      <c r="V101" s="84"/>
      <c r="W101" s="84" t="str">
        <f t="shared" si="9"/>
        <v>3080241CCLRSMITH-NON3%98081.8253042252SCS ENGINEERING</v>
      </c>
      <c r="X101" s="84"/>
    </row>
    <row r="102" spans="1:24" s="117" customFormat="1" x14ac:dyDescent="0.25">
      <c r="A102" s="86" t="s">
        <v>87</v>
      </c>
      <c r="B102" s="87" t="s">
        <v>172</v>
      </c>
      <c r="C102" s="87" t="s">
        <v>73</v>
      </c>
      <c r="D102" s="86" t="s">
        <v>74</v>
      </c>
      <c r="E102" s="86" t="s">
        <v>218</v>
      </c>
      <c r="F102" s="88">
        <v>14</v>
      </c>
      <c r="G102" s="86" t="s">
        <v>79</v>
      </c>
      <c r="H102" s="90">
        <v>50750.31</v>
      </c>
      <c r="I102" s="90">
        <f>F102*H102</f>
        <v>710504.34</v>
      </c>
      <c r="J102" s="86" t="s">
        <v>88</v>
      </c>
      <c r="K102" s="86" t="s">
        <v>64</v>
      </c>
      <c r="L102" s="86" t="s">
        <v>64</v>
      </c>
      <c r="M102" s="86" t="s">
        <v>88</v>
      </c>
      <c r="N102" s="192">
        <f t="shared" si="10"/>
        <v>50750.31</v>
      </c>
      <c r="O102" s="193">
        <f t="shared" si="11"/>
        <v>710504.34</v>
      </c>
      <c r="P102" s="134" t="s">
        <v>75</v>
      </c>
      <c r="Q102" s="134">
        <v>1</v>
      </c>
      <c r="R102" s="134" t="s">
        <v>185</v>
      </c>
      <c r="S102" s="96" t="s">
        <v>162</v>
      </c>
      <c r="T102" s="112" t="s">
        <v>67</v>
      </c>
      <c r="U102" s="84"/>
      <c r="V102" s="84"/>
      <c r="W102" s="84" t="str">
        <f t="shared" si="9"/>
        <v>3070221CCLRSMITH-NON14MY50750.31SECURITY SERVICES</v>
      </c>
      <c r="X102" s="84"/>
    </row>
    <row r="103" spans="1:24" x14ac:dyDescent="0.25">
      <c r="A103" s="86" t="s">
        <v>93</v>
      </c>
      <c r="B103" s="87" t="s">
        <v>170</v>
      </c>
      <c r="C103" s="87" t="s">
        <v>73</v>
      </c>
      <c r="D103" s="86" t="s">
        <v>74</v>
      </c>
      <c r="E103" s="86" t="s">
        <v>218</v>
      </c>
      <c r="F103" s="88">
        <v>1</v>
      </c>
      <c r="G103" s="86" t="s">
        <v>21</v>
      </c>
      <c r="H103" s="90">
        <f>'Smith Data'!$E$7</f>
        <v>30000</v>
      </c>
      <c r="I103" s="195">
        <f>'Smith Data'!$F$7</f>
        <v>30000</v>
      </c>
      <c r="J103" s="86" t="s">
        <v>23</v>
      </c>
      <c r="K103" s="86" t="s">
        <v>64</v>
      </c>
      <c r="L103" s="86" t="s">
        <v>64</v>
      </c>
      <c r="M103" s="86" t="s">
        <v>23</v>
      </c>
      <c r="N103" s="192">
        <f t="shared" si="10"/>
        <v>30000</v>
      </c>
      <c r="O103" s="193">
        <f t="shared" si="11"/>
        <v>30000</v>
      </c>
      <c r="P103" s="134" t="s">
        <v>75</v>
      </c>
      <c r="Q103" s="134">
        <v>1</v>
      </c>
      <c r="R103" s="134" t="s">
        <v>185</v>
      </c>
      <c r="S103" s="96" t="s">
        <v>162</v>
      </c>
      <c r="T103" s="112" t="s">
        <v>86</v>
      </c>
      <c r="U103" s="84"/>
      <c r="V103" s="136">
        <v>3</v>
      </c>
      <c r="W103" s="84" t="str">
        <f t="shared" si="9"/>
        <v>3080241SWCCLRSMITH-NON1ls30000Storm Water Prevention Plan</v>
      </c>
      <c r="X103" s="84"/>
    </row>
    <row r="104" spans="1:24" x14ac:dyDescent="0.25">
      <c r="A104" s="86" t="s">
        <v>81</v>
      </c>
      <c r="B104" s="87" t="s">
        <v>172</v>
      </c>
      <c r="C104" s="87" t="s">
        <v>73</v>
      </c>
      <c r="D104" s="86" t="s">
        <v>74</v>
      </c>
      <c r="E104" s="86" t="s">
        <v>218</v>
      </c>
      <c r="F104" s="88">
        <v>2</v>
      </c>
      <c r="G104" s="86" t="s">
        <v>14</v>
      </c>
      <c r="H104" s="107">
        <f>SUMIFS($I$3:$I$129,$E$3:$E$129,$E104,$U$3:$U$129,"MARKUP",$S$3:$S$129,"REMOVAL")*0.01</f>
        <v>98081.825304225189</v>
      </c>
      <c r="I104" s="107">
        <f>(F104*H104)-200000</f>
        <v>-3836.3493915496219</v>
      </c>
      <c r="J104" s="108" t="s">
        <v>82</v>
      </c>
      <c r="K104" s="86" t="s">
        <v>64</v>
      </c>
      <c r="L104" s="86" t="s">
        <v>64</v>
      </c>
      <c r="M104" s="86" t="s">
        <v>182</v>
      </c>
      <c r="N104" s="192">
        <f t="shared" si="10"/>
        <v>98081.825304225189</v>
      </c>
      <c r="O104" s="193">
        <f t="shared" si="11"/>
        <v>-3836.3493915496219</v>
      </c>
      <c r="P104" s="134" t="s">
        <v>75</v>
      </c>
      <c r="Q104" s="134">
        <v>1</v>
      </c>
      <c r="R104" s="134" t="s">
        <v>185</v>
      </c>
      <c r="S104" s="96" t="s">
        <v>162</v>
      </c>
      <c r="T104" s="112" t="s">
        <v>67</v>
      </c>
      <c r="U104" s="84"/>
      <c r="V104" s="84"/>
      <c r="W104" s="84" t="str">
        <f t="shared" si="9"/>
        <v>3070201CCLRSMITH-NON2%98081.8253042252TEMPORARY CONSTRUCTION SERVICES</v>
      </c>
      <c r="X104" s="84"/>
    </row>
    <row r="105" spans="1:24" x14ac:dyDescent="0.25">
      <c r="A105" s="86" t="s">
        <v>81</v>
      </c>
      <c r="B105" s="87" t="s">
        <v>172</v>
      </c>
      <c r="C105" s="87" t="s">
        <v>73</v>
      </c>
      <c r="D105" s="86" t="s">
        <v>74</v>
      </c>
      <c r="E105" s="86" t="s">
        <v>226</v>
      </c>
      <c r="F105" s="106">
        <v>1</v>
      </c>
      <c r="G105" s="86" t="s">
        <v>14</v>
      </c>
      <c r="H105" s="107">
        <f>SUMIFS($I$3:$I$129,$E$3:$E$129,$E105,$U$3:$U$129,"MARKUP",$S$3:$S$129,"REMOVAL")*0.01</f>
        <v>21065.420000000002</v>
      </c>
      <c r="I105" s="194">
        <f>F105*H105</f>
        <v>21065.420000000002</v>
      </c>
      <c r="J105" s="108" t="s">
        <v>82</v>
      </c>
      <c r="K105" s="86" t="s">
        <v>64</v>
      </c>
      <c r="L105" s="86" t="s">
        <v>64</v>
      </c>
      <c r="M105" s="86" t="s">
        <v>82</v>
      </c>
      <c r="N105" s="192">
        <f t="shared" si="10"/>
        <v>21065.420000000002</v>
      </c>
      <c r="O105" s="193">
        <f t="shared" si="11"/>
        <v>21065.420000000002</v>
      </c>
      <c r="P105" s="134" t="s">
        <v>76</v>
      </c>
      <c r="Q105" s="134">
        <v>1</v>
      </c>
      <c r="R105" s="134" t="s">
        <v>185</v>
      </c>
      <c r="S105" s="96" t="s">
        <v>162</v>
      </c>
      <c r="T105" s="84" t="s">
        <v>67</v>
      </c>
      <c r="U105" s="84"/>
      <c r="W105" s="84" t="str">
        <f t="shared" si="9"/>
        <v>3070201CCLRSMITH-ASB1%21065.42TEMPORARY CONSTRUCTION SERVICES</v>
      </c>
      <c r="X105" s="84"/>
    </row>
    <row r="106" spans="1:24" x14ac:dyDescent="0.25">
      <c r="A106" s="86" t="s">
        <v>81</v>
      </c>
      <c r="B106" s="87" t="s">
        <v>172</v>
      </c>
      <c r="C106" s="87" t="s">
        <v>73</v>
      </c>
      <c r="D106" s="86" t="s">
        <v>74</v>
      </c>
      <c r="E106" s="86" t="s">
        <v>217</v>
      </c>
      <c r="F106" s="88">
        <v>2</v>
      </c>
      <c r="G106" s="86" t="s">
        <v>14</v>
      </c>
      <c r="H106" s="107">
        <f>SUMIFS($I$3:$I$129,$E$3:$E$129,$E106,$U$3:$U$129,"MARKUP",$S$3:$S$129,"REMOVAL")*0.01</f>
        <v>3600</v>
      </c>
      <c r="I106" s="90">
        <f>F106*H106</f>
        <v>7200</v>
      </c>
      <c r="J106" s="108" t="s">
        <v>82</v>
      </c>
      <c r="K106" s="86" t="s">
        <v>64</v>
      </c>
      <c r="L106" s="86" t="s">
        <v>64</v>
      </c>
      <c r="M106" s="86" t="s">
        <v>82</v>
      </c>
      <c r="N106" s="192">
        <f t="shared" si="10"/>
        <v>3600</v>
      </c>
      <c r="O106" s="193">
        <f t="shared" si="11"/>
        <v>7200</v>
      </c>
      <c r="P106" s="134" t="s">
        <v>66</v>
      </c>
      <c r="Q106" s="134">
        <v>1</v>
      </c>
      <c r="R106" s="134" t="s">
        <v>185</v>
      </c>
      <c r="S106" s="96" t="s">
        <v>162</v>
      </c>
      <c r="T106" s="112" t="s">
        <v>67</v>
      </c>
      <c r="U106" s="84"/>
      <c r="V106" s="84"/>
      <c r="W106" s="84" t="str">
        <f t="shared" si="9"/>
        <v>3070201CCLRSMITH-ECO2%3600TEMPORARY CONSTRUCTION SERVICES</v>
      </c>
      <c r="X106" s="84"/>
    </row>
    <row r="107" spans="1:24" x14ac:dyDescent="0.25">
      <c r="A107" s="86" t="s">
        <v>113</v>
      </c>
      <c r="B107" s="87" t="s">
        <v>169</v>
      </c>
      <c r="C107" s="87">
        <v>1</v>
      </c>
      <c r="D107" s="86" t="s">
        <v>109</v>
      </c>
      <c r="E107" s="86" t="s">
        <v>218</v>
      </c>
      <c r="F107" s="91">
        <f>'Smith Data'!$D$25</f>
        <v>285.35399999999998</v>
      </c>
      <c r="G107" s="86" t="s">
        <v>33</v>
      </c>
      <c r="H107" s="90">
        <f>'Smith Data'!$E$25</f>
        <v>66.325999999999993</v>
      </c>
      <c r="I107" s="195">
        <f>'Smith Data'!$F$25</f>
        <v>18548.009999999998</v>
      </c>
      <c r="J107" s="86" t="s">
        <v>41</v>
      </c>
      <c r="K107" s="86" t="s">
        <v>64</v>
      </c>
      <c r="L107" s="86" t="s">
        <v>64</v>
      </c>
      <c r="M107" s="86" t="s">
        <v>41</v>
      </c>
      <c r="N107" s="192">
        <f t="shared" si="10"/>
        <v>66.325999999999993</v>
      </c>
      <c r="O107" s="193">
        <f t="shared" si="11"/>
        <v>18548.009999999998</v>
      </c>
      <c r="P107" s="134" t="s">
        <v>75</v>
      </c>
      <c r="Q107" s="134">
        <v>1</v>
      </c>
      <c r="R107" s="134" t="s">
        <v>185</v>
      </c>
      <c r="S107" s="96" t="s">
        <v>167</v>
      </c>
      <c r="T107" s="112" t="s">
        <v>86</v>
      </c>
      <c r="U107" s="84" t="s">
        <v>104</v>
      </c>
      <c r="V107" s="136">
        <v>17</v>
      </c>
      <c r="W107" s="84" t="str">
        <f t="shared" si="9"/>
        <v>311UND11LDSMITH-NON285.354nt66.326Transport &amp;  Dispose of Combustibles</v>
      </c>
      <c r="X107" s="84"/>
    </row>
    <row r="108" spans="1:24" x14ac:dyDescent="0.25">
      <c r="A108" s="86" t="s">
        <v>113</v>
      </c>
      <c r="B108" s="87" t="s">
        <v>169</v>
      </c>
      <c r="C108" s="87">
        <v>2</v>
      </c>
      <c r="D108" s="86" t="s">
        <v>111</v>
      </c>
      <c r="E108" s="86" t="s">
        <v>218</v>
      </c>
      <c r="F108" s="91">
        <f>'Smith Data'!$D$41</f>
        <v>323.87678999999997</v>
      </c>
      <c r="G108" s="86" t="s">
        <v>33</v>
      </c>
      <c r="H108" s="90">
        <f>'Smith Data'!$E$41</f>
        <v>66.325999999999993</v>
      </c>
      <c r="I108" s="195">
        <f>'Smith Data'!$F$41</f>
        <v>21051.991349999997</v>
      </c>
      <c r="J108" s="86" t="s">
        <v>41</v>
      </c>
      <c r="K108" s="86" t="s">
        <v>64</v>
      </c>
      <c r="L108" s="86" t="s">
        <v>64</v>
      </c>
      <c r="M108" s="86" t="s">
        <v>41</v>
      </c>
      <c r="N108" s="192">
        <f t="shared" si="10"/>
        <v>66.325999999999993</v>
      </c>
      <c r="O108" s="193">
        <f t="shared" si="11"/>
        <v>21051.991349999997</v>
      </c>
      <c r="P108" s="134" t="s">
        <v>75</v>
      </c>
      <c r="Q108" s="134">
        <v>1</v>
      </c>
      <c r="R108" s="134" t="s">
        <v>185</v>
      </c>
      <c r="S108" s="96" t="s">
        <v>167</v>
      </c>
      <c r="T108" s="112" t="s">
        <v>86</v>
      </c>
      <c r="U108" s="84" t="s">
        <v>104</v>
      </c>
      <c r="V108" s="136">
        <v>31</v>
      </c>
      <c r="W108" s="84" t="str">
        <f t="shared" si="9"/>
        <v>311UND22LDSMITH-NON323.87679nt66.326Transport &amp;  Dispose of Combustibles</v>
      </c>
      <c r="X108" s="84"/>
    </row>
    <row r="109" spans="1:24" x14ac:dyDescent="0.25">
      <c r="A109" s="86" t="s">
        <v>147</v>
      </c>
      <c r="B109" s="87" t="s">
        <v>175</v>
      </c>
      <c r="C109" s="87" t="s">
        <v>214</v>
      </c>
      <c r="D109" s="86" t="s">
        <v>219</v>
      </c>
      <c r="E109" s="86" t="s">
        <v>218</v>
      </c>
      <c r="F109" s="91">
        <f>'Smith Data'!$D$60</f>
        <v>92</v>
      </c>
      <c r="G109" s="86" t="s">
        <v>33</v>
      </c>
      <c r="H109" s="90">
        <f>'Smith Data'!$E$60</f>
        <v>66.325999999999993</v>
      </c>
      <c r="I109" s="195">
        <f>'Smith Data'!$F$60</f>
        <v>5980</v>
      </c>
      <c r="J109" s="86" t="s">
        <v>41</v>
      </c>
      <c r="K109" s="86" t="s">
        <v>64</v>
      </c>
      <c r="L109" s="86" t="s">
        <v>64</v>
      </c>
      <c r="M109" s="86" t="s">
        <v>41</v>
      </c>
      <c r="N109" s="192">
        <f t="shared" si="10"/>
        <v>66.325999999999993</v>
      </c>
      <c r="O109" s="193">
        <f t="shared" si="11"/>
        <v>5980</v>
      </c>
      <c r="P109" s="134" t="s">
        <v>75</v>
      </c>
      <c r="Q109" s="134">
        <v>1</v>
      </c>
      <c r="R109" s="134" t="s">
        <v>185</v>
      </c>
      <c r="S109" s="96" t="s">
        <v>167</v>
      </c>
      <c r="T109" s="112" t="s">
        <v>86</v>
      </c>
      <c r="U109" s="84" t="s">
        <v>104</v>
      </c>
      <c r="V109" s="136">
        <v>43</v>
      </c>
      <c r="W109" s="84" t="str">
        <f t="shared" si="9"/>
        <v>341UND3CC3LDCCSMITH-NON92nt66.326Transport &amp;  Dispose of Combustibles</v>
      </c>
      <c r="X109" s="84"/>
    </row>
    <row r="110" spans="1:24" x14ac:dyDescent="0.25">
      <c r="A110" s="86" t="s">
        <v>147</v>
      </c>
      <c r="B110" s="87" t="s">
        <v>175</v>
      </c>
      <c r="C110" s="87" t="s">
        <v>215</v>
      </c>
      <c r="D110" s="86" t="s">
        <v>222</v>
      </c>
      <c r="E110" s="86" t="s">
        <v>218</v>
      </c>
      <c r="F110" s="131">
        <f>'Smith Data'!$D$69</f>
        <v>12</v>
      </c>
      <c r="G110" s="86" t="s">
        <v>33</v>
      </c>
      <c r="H110" s="90">
        <f>'Smith Data'!$E$69</f>
        <v>66.325999999999993</v>
      </c>
      <c r="I110" s="195">
        <f>'Smith Data'!$F$69</f>
        <v>780</v>
      </c>
      <c r="J110" s="86" t="s">
        <v>41</v>
      </c>
      <c r="K110" s="86" t="s">
        <v>64</v>
      </c>
      <c r="L110" s="86" t="s">
        <v>64</v>
      </c>
      <c r="M110" s="86" t="s">
        <v>41</v>
      </c>
      <c r="N110" s="192">
        <f t="shared" si="10"/>
        <v>66.325999999999993</v>
      </c>
      <c r="O110" s="193">
        <f t="shared" si="11"/>
        <v>780</v>
      </c>
      <c r="P110" s="134" t="s">
        <v>75</v>
      </c>
      <c r="Q110" s="134">
        <v>1</v>
      </c>
      <c r="R110" s="134" t="s">
        <v>185</v>
      </c>
      <c r="S110" s="96" t="s">
        <v>167</v>
      </c>
      <c r="T110" s="112" t="s">
        <v>86</v>
      </c>
      <c r="U110" s="84" t="s">
        <v>104</v>
      </c>
      <c r="V110" s="136">
        <v>50</v>
      </c>
      <c r="W110" s="84" t="str">
        <f t="shared" si="9"/>
        <v>341UND4CT4LDCTSMITH-NON12nt66.326Transport &amp;  Dispose of Combustibles</v>
      </c>
      <c r="X110" s="84"/>
    </row>
    <row r="111" spans="1:24" x14ac:dyDescent="0.25">
      <c r="A111" s="86" t="s">
        <v>147</v>
      </c>
      <c r="B111" s="87" t="s">
        <v>175</v>
      </c>
      <c r="C111" s="87" t="s">
        <v>73</v>
      </c>
      <c r="D111" s="86" t="s">
        <v>112</v>
      </c>
      <c r="E111" s="86" t="s">
        <v>218</v>
      </c>
      <c r="F111" s="91">
        <f>'Smith Data'!$D$77</f>
        <v>35</v>
      </c>
      <c r="G111" s="86" t="s">
        <v>33</v>
      </c>
      <c r="H111" s="90">
        <f>'Smith Data'!$E$77</f>
        <v>66.325999999999993</v>
      </c>
      <c r="I111" s="195">
        <f>'Smith Data'!$F$77</f>
        <v>2275</v>
      </c>
      <c r="J111" s="86" t="s">
        <v>41</v>
      </c>
      <c r="K111" s="86" t="s">
        <v>64</v>
      </c>
      <c r="L111" s="86" t="s">
        <v>64</v>
      </c>
      <c r="M111" s="86" t="s">
        <v>41</v>
      </c>
      <c r="N111" s="192">
        <f t="shared" si="10"/>
        <v>66.325999999999993</v>
      </c>
      <c r="O111" s="193">
        <f t="shared" si="11"/>
        <v>2275</v>
      </c>
      <c r="P111" s="134" t="s">
        <v>75</v>
      </c>
      <c r="Q111" s="134">
        <v>1</v>
      </c>
      <c r="R111" s="134" t="s">
        <v>185</v>
      </c>
      <c r="S111" s="96" t="s">
        <v>167</v>
      </c>
      <c r="T111" s="112" t="s">
        <v>86</v>
      </c>
      <c r="U111" s="84" t="s">
        <v>104</v>
      </c>
      <c r="V111" s="136">
        <v>56</v>
      </c>
      <c r="W111" s="84" t="str">
        <f t="shared" si="9"/>
        <v>341UNDCCLDSMITH-NON35nt66.326Transport &amp;  Dispose of Combustibles</v>
      </c>
      <c r="X111" s="84"/>
    </row>
    <row r="112" spans="1:24" x14ac:dyDescent="0.25">
      <c r="A112" s="86" t="s">
        <v>141</v>
      </c>
      <c r="B112" s="87" t="s">
        <v>179</v>
      </c>
      <c r="C112" s="87">
        <v>1</v>
      </c>
      <c r="D112" s="86" t="s">
        <v>122</v>
      </c>
      <c r="E112" s="86" t="s">
        <v>218</v>
      </c>
      <c r="F112" s="91">
        <f>'Smith Data'!$D$29</f>
        <v>146742.94616133551</v>
      </c>
      <c r="G112" s="86" t="s">
        <v>36</v>
      </c>
      <c r="H112" s="90">
        <f>'Smith Data'!$E$29</f>
        <v>-0.31414430979039298</v>
      </c>
      <c r="I112" s="195">
        <f>'Smith Data'!$F$29</f>
        <v>-46098.461538461539</v>
      </c>
      <c r="J112" s="86" t="s">
        <v>142</v>
      </c>
      <c r="K112" s="86" t="s">
        <v>133</v>
      </c>
      <c r="L112" s="86" t="s">
        <v>143</v>
      </c>
      <c r="M112" s="86" t="s">
        <v>267</v>
      </c>
      <c r="N112" s="192">
        <f t="shared" si="10"/>
        <v>-0.31414430979039298</v>
      </c>
      <c r="O112" s="193">
        <f t="shared" si="11"/>
        <v>-46098.461538461539</v>
      </c>
      <c r="P112" s="134" t="s">
        <v>75</v>
      </c>
      <c r="Q112" s="134">
        <v>1</v>
      </c>
      <c r="R112" s="134" t="s">
        <v>185</v>
      </c>
      <c r="S112" s="96" t="s">
        <v>166</v>
      </c>
      <c r="T112" s="112" t="s">
        <v>86</v>
      </c>
      <c r="U112" s="84" t="s">
        <v>104</v>
      </c>
      <c r="V112" s="136">
        <v>21</v>
      </c>
      <c r="W112" s="84" t="str">
        <f t="shared" si="9"/>
        <v>315UND11MSSMITH-NON146742.946161336lbs-0.314144309790393Unit &amp; Service Transformers - CU Sales</v>
      </c>
      <c r="X112" s="84"/>
    </row>
    <row r="113" spans="1:24" x14ac:dyDescent="0.25">
      <c r="A113" s="86" t="s">
        <v>141</v>
      </c>
      <c r="B113" s="87" t="s">
        <v>179</v>
      </c>
      <c r="C113" s="87">
        <v>2</v>
      </c>
      <c r="D113" s="86" t="s">
        <v>124</v>
      </c>
      <c r="E113" s="86" t="s">
        <v>218</v>
      </c>
      <c r="F113" s="91">
        <f>'Smith Data'!$D$44</f>
        <v>176091.53539360259</v>
      </c>
      <c r="G113" s="86" t="s">
        <v>36</v>
      </c>
      <c r="H113" s="90">
        <f>'Smith Data'!$E$44</f>
        <v>-0.31414430979039298</v>
      </c>
      <c r="I113" s="195">
        <f>'Smith Data'!$F$44</f>
        <v>-55318.153846153844</v>
      </c>
      <c r="J113" s="86" t="s">
        <v>142</v>
      </c>
      <c r="K113" s="86" t="s">
        <v>133</v>
      </c>
      <c r="L113" s="86" t="s">
        <v>143</v>
      </c>
      <c r="M113" s="86" t="s">
        <v>267</v>
      </c>
      <c r="N113" s="192">
        <f t="shared" si="10"/>
        <v>-0.31414430979039298</v>
      </c>
      <c r="O113" s="193">
        <f t="shared" si="11"/>
        <v>-55318.153846153844</v>
      </c>
      <c r="P113" s="134" t="s">
        <v>75</v>
      </c>
      <c r="Q113" s="134">
        <v>1</v>
      </c>
      <c r="R113" s="134" t="s">
        <v>185</v>
      </c>
      <c r="S113" s="96" t="s">
        <v>166</v>
      </c>
      <c r="T113" s="112" t="s">
        <v>86</v>
      </c>
      <c r="U113" s="84" t="s">
        <v>104</v>
      </c>
      <c r="V113" s="136">
        <v>34</v>
      </c>
      <c r="W113" s="84" t="str">
        <f t="shared" si="9"/>
        <v>315UND22MSSMITH-NON176091.535393603lbs-0.314144309790393Unit &amp; Service Transformers - CU Sales</v>
      </c>
      <c r="X113" s="84"/>
    </row>
    <row r="114" spans="1:24" x14ac:dyDescent="0.25">
      <c r="A114" s="86" t="s">
        <v>141</v>
      </c>
      <c r="B114" s="87" t="s">
        <v>179</v>
      </c>
      <c r="C114" s="87">
        <v>1</v>
      </c>
      <c r="D114" s="86" t="s">
        <v>68</v>
      </c>
      <c r="E114" s="86" t="s">
        <v>218</v>
      </c>
      <c r="F114" s="91">
        <f>'Smith Data'!$D$28</f>
        <v>100</v>
      </c>
      <c r="G114" s="86" t="s">
        <v>33</v>
      </c>
      <c r="H114" s="90">
        <f>'Smith Data'!$E$28</f>
        <v>244.89599999999999</v>
      </c>
      <c r="I114" s="195">
        <f>'Smith Data'!$F$28</f>
        <v>24489.599999999999</v>
      </c>
      <c r="J114" s="86" t="s">
        <v>144</v>
      </c>
      <c r="K114" s="86" t="s">
        <v>64</v>
      </c>
      <c r="L114" s="86" t="s">
        <v>143</v>
      </c>
      <c r="M114" s="86" t="s">
        <v>145</v>
      </c>
      <c r="N114" s="192">
        <f t="shared" si="10"/>
        <v>244.89599999999999</v>
      </c>
      <c r="O114" s="193">
        <f t="shared" si="11"/>
        <v>24489.599999999999</v>
      </c>
      <c r="P114" s="134" t="s">
        <v>75</v>
      </c>
      <c r="Q114" s="134">
        <v>1</v>
      </c>
      <c r="R114" s="134" t="s">
        <v>185</v>
      </c>
      <c r="S114" s="96" t="s">
        <v>162</v>
      </c>
      <c r="T114" s="112" t="s">
        <v>86</v>
      </c>
      <c r="U114" s="84" t="s">
        <v>104</v>
      </c>
      <c r="V114" s="136">
        <v>20</v>
      </c>
      <c r="W114" s="84" t="str">
        <f t="shared" si="9"/>
        <v>315UND11LRSMITH-NON100nt244.896Unit &amp; Service Transformers - Demo</v>
      </c>
      <c r="X114" s="84"/>
    </row>
    <row r="115" spans="1:24" x14ac:dyDescent="0.25">
      <c r="A115" s="86" t="s">
        <v>141</v>
      </c>
      <c r="B115" s="87" t="s">
        <v>179</v>
      </c>
      <c r="C115" s="87">
        <v>2</v>
      </c>
      <c r="D115" s="86" t="s">
        <v>69</v>
      </c>
      <c r="E115" s="86" t="s">
        <v>218</v>
      </c>
      <c r="F115" s="91">
        <f>'Smith Data'!$D$43</f>
        <v>120</v>
      </c>
      <c r="G115" s="86" t="s">
        <v>33</v>
      </c>
      <c r="H115" s="90">
        <f>'Smith Data'!$E$43</f>
        <v>244.89599999999999</v>
      </c>
      <c r="I115" s="195">
        <f>'Smith Data'!$F$43</f>
        <v>29387.519999999997</v>
      </c>
      <c r="J115" s="86" t="s">
        <v>144</v>
      </c>
      <c r="K115" s="86" t="s">
        <v>64</v>
      </c>
      <c r="L115" s="86" t="s">
        <v>143</v>
      </c>
      <c r="M115" s="86" t="s">
        <v>145</v>
      </c>
      <c r="N115" s="192">
        <f t="shared" si="10"/>
        <v>244.89599999999999</v>
      </c>
      <c r="O115" s="193">
        <f t="shared" si="11"/>
        <v>29387.519999999997</v>
      </c>
      <c r="P115" s="134" t="s">
        <v>75</v>
      </c>
      <c r="Q115" s="134">
        <v>1</v>
      </c>
      <c r="R115" s="134" t="s">
        <v>185</v>
      </c>
      <c r="S115" s="96" t="s">
        <v>162</v>
      </c>
      <c r="T115" s="112" t="s">
        <v>86</v>
      </c>
      <c r="U115" s="84" t="s">
        <v>104</v>
      </c>
      <c r="V115" s="136">
        <v>33</v>
      </c>
      <c r="W115" s="84" t="str">
        <f t="shared" si="9"/>
        <v>315UND22LRSMITH-NON120nt244.896Unit &amp; Service Transformers - Demo</v>
      </c>
      <c r="X115" s="84"/>
    </row>
    <row r="116" spans="1:24" x14ac:dyDescent="0.25">
      <c r="A116" s="86" t="s">
        <v>141</v>
      </c>
      <c r="B116" s="87" t="s">
        <v>179</v>
      </c>
      <c r="C116" s="87">
        <v>1</v>
      </c>
      <c r="D116" s="86" t="s">
        <v>122</v>
      </c>
      <c r="E116" s="86" t="s">
        <v>218</v>
      </c>
      <c r="F116" s="91">
        <f>'Smith Data'!$D$30</f>
        <v>100</v>
      </c>
      <c r="G116" s="86" t="s">
        <v>33</v>
      </c>
      <c r="H116" s="90">
        <f>'Smith Data'!$E$30</f>
        <v>-108.3695731319762</v>
      </c>
      <c r="I116" s="195">
        <f>'Smith Data'!$F$30</f>
        <v>-10836.957313197619</v>
      </c>
      <c r="J116" s="86" t="s">
        <v>146</v>
      </c>
      <c r="K116" s="86" t="s">
        <v>118</v>
      </c>
      <c r="L116" s="86" t="s">
        <v>143</v>
      </c>
      <c r="M116" s="86" t="s">
        <v>267</v>
      </c>
      <c r="N116" s="192">
        <f t="shared" si="10"/>
        <v>-108.3695731319762</v>
      </c>
      <c r="O116" s="193">
        <f t="shared" si="11"/>
        <v>-10836.957313197619</v>
      </c>
      <c r="P116" s="134" t="s">
        <v>75</v>
      </c>
      <c r="Q116" s="134">
        <v>1</v>
      </c>
      <c r="R116" s="134" t="s">
        <v>185</v>
      </c>
      <c r="S116" s="96" t="s">
        <v>166</v>
      </c>
      <c r="T116" s="112" t="s">
        <v>86</v>
      </c>
      <c r="U116" s="84" t="s">
        <v>104</v>
      </c>
      <c r="V116" s="136">
        <v>22</v>
      </c>
      <c r="W116" s="84" t="str">
        <f t="shared" si="9"/>
        <v>315UND11MSSMITH-NON100nt-108.369573131976Unit &amp; Service Transformers - FE Sales</v>
      </c>
      <c r="X116" s="84"/>
    </row>
    <row r="117" spans="1:24" x14ac:dyDescent="0.25">
      <c r="A117" s="86" t="s">
        <v>141</v>
      </c>
      <c r="B117" s="87" t="s">
        <v>179</v>
      </c>
      <c r="C117" s="87">
        <v>2</v>
      </c>
      <c r="D117" s="86" t="s">
        <v>124</v>
      </c>
      <c r="E117" s="86" t="s">
        <v>218</v>
      </c>
      <c r="F117" s="91">
        <f>'Smith Data'!$D$45</f>
        <v>120</v>
      </c>
      <c r="G117" s="86" t="s">
        <v>33</v>
      </c>
      <c r="H117" s="90">
        <f>'Smith Data'!$E$45</f>
        <v>-108.3695731319762</v>
      </c>
      <c r="I117" s="195">
        <f>'Smith Data'!$F$45</f>
        <v>-13004.348775837143</v>
      </c>
      <c r="J117" s="86" t="s">
        <v>146</v>
      </c>
      <c r="K117" s="86" t="s">
        <v>118</v>
      </c>
      <c r="L117" s="86" t="s">
        <v>143</v>
      </c>
      <c r="M117" s="86" t="s">
        <v>267</v>
      </c>
      <c r="N117" s="192">
        <f t="shared" si="10"/>
        <v>-108.3695731319762</v>
      </c>
      <c r="O117" s="193">
        <f t="shared" si="11"/>
        <v>-13004.348775837143</v>
      </c>
      <c r="P117" s="134" t="s">
        <v>75</v>
      </c>
      <c r="Q117" s="134">
        <v>1</v>
      </c>
      <c r="R117" s="134" t="s">
        <v>185</v>
      </c>
      <c r="S117" s="96" t="s">
        <v>166</v>
      </c>
      <c r="T117" s="112" t="s">
        <v>86</v>
      </c>
      <c r="U117" s="84" t="s">
        <v>104</v>
      </c>
      <c r="V117" s="136">
        <v>35</v>
      </c>
      <c r="W117" s="84" t="str">
        <f t="shared" si="9"/>
        <v>315UND22MSSMITH-NON120nt-108.369573131976Unit &amp; Service Transformers - FE Sales</v>
      </c>
      <c r="X117" s="84"/>
    </row>
    <row r="118" spans="1:24" x14ac:dyDescent="0.25">
      <c r="A118" s="86" t="s">
        <v>153</v>
      </c>
      <c r="B118" s="87" t="s">
        <v>173</v>
      </c>
      <c r="C118" s="87">
        <v>1</v>
      </c>
      <c r="D118" s="86" t="s">
        <v>109</v>
      </c>
      <c r="E118" s="86" t="s">
        <v>218</v>
      </c>
      <c r="F118" s="91">
        <f>'Smith Data'!$D$83*0.2</f>
        <v>231.4814814814815</v>
      </c>
      <c r="G118" s="86" t="s">
        <v>33</v>
      </c>
      <c r="H118" s="90">
        <f>'Smith Data'!$E$83</f>
        <v>66.325999999999993</v>
      </c>
      <c r="I118" s="90"/>
      <c r="J118" s="86" t="s">
        <v>50</v>
      </c>
      <c r="K118" s="86" t="s">
        <v>64</v>
      </c>
      <c r="L118" s="86" t="s">
        <v>64</v>
      </c>
      <c r="M118" s="86" t="s">
        <v>50</v>
      </c>
      <c r="N118" s="192">
        <f t="shared" si="10"/>
        <v>66.325999999999993</v>
      </c>
      <c r="O118" s="193">
        <f t="shared" si="11"/>
        <v>0</v>
      </c>
      <c r="P118" s="134" t="s">
        <v>75</v>
      </c>
      <c r="Q118" s="134">
        <v>1</v>
      </c>
      <c r="R118" s="134" t="s">
        <v>185</v>
      </c>
      <c r="S118" s="96" t="s">
        <v>167</v>
      </c>
      <c r="T118" s="112" t="s">
        <v>86</v>
      </c>
      <c r="U118" s="84" t="s">
        <v>104</v>
      </c>
      <c r="W118" s="84" t="str">
        <f t="shared" si="9"/>
        <v>3430000FM11LDSMITH-NON231.481481481481nt66.326Universal Wastes, Grease &amp; Oil Removal</v>
      </c>
      <c r="X118" s="84"/>
    </row>
    <row r="119" spans="1:24" x14ac:dyDescent="0.25">
      <c r="A119" s="86" t="s">
        <v>153</v>
      </c>
      <c r="B119" s="87" t="s">
        <v>173</v>
      </c>
      <c r="C119" s="87">
        <v>1</v>
      </c>
      <c r="D119" s="86" t="s">
        <v>109</v>
      </c>
      <c r="E119" s="86" t="s">
        <v>218</v>
      </c>
      <c r="F119" s="91">
        <f>'Smith Data'!$D$82*0.42</f>
        <v>7889.0631125049003</v>
      </c>
      <c r="G119" s="86" t="s">
        <v>33</v>
      </c>
      <c r="H119" s="90">
        <f>'Smith Data'!$E$82</f>
        <v>6.1223999999999998</v>
      </c>
      <c r="I119" s="195">
        <f>'Smith Data'!$F$82*0.42</f>
        <v>48300</v>
      </c>
      <c r="J119" s="86" t="s">
        <v>50</v>
      </c>
      <c r="K119" s="86" t="s">
        <v>64</v>
      </c>
      <c r="L119" s="86" t="s">
        <v>64</v>
      </c>
      <c r="M119" s="86" t="s">
        <v>50</v>
      </c>
      <c r="N119" s="192">
        <f t="shared" si="10"/>
        <v>6.1223999999999998</v>
      </c>
      <c r="O119" s="193">
        <f t="shared" si="11"/>
        <v>48300</v>
      </c>
      <c r="P119" s="134" t="s">
        <v>75</v>
      </c>
      <c r="Q119" s="134">
        <v>1</v>
      </c>
      <c r="R119" s="134" t="s">
        <v>185</v>
      </c>
      <c r="S119" s="96" t="s">
        <v>167</v>
      </c>
      <c r="T119" s="112" t="s">
        <v>86</v>
      </c>
      <c r="U119" s="112" t="s">
        <v>104</v>
      </c>
      <c r="W119" s="84" t="str">
        <f t="shared" si="9"/>
        <v>3430000FM11LDSMITH-NON7889.0631125049nt6.1224Universal Wastes, Grease &amp; Oil Removal</v>
      </c>
      <c r="X119" s="84"/>
    </row>
    <row r="120" spans="1:24" x14ac:dyDescent="0.25">
      <c r="A120" s="86" t="s">
        <v>153</v>
      </c>
      <c r="B120" s="87" t="s">
        <v>173</v>
      </c>
      <c r="C120" s="87">
        <v>2</v>
      </c>
      <c r="D120" s="86" t="s">
        <v>111</v>
      </c>
      <c r="E120" s="86" t="s">
        <v>218</v>
      </c>
      <c r="F120" s="91">
        <f>'Smith Data'!$D$82*0.47</f>
        <v>8828.237292565007</v>
      </c>
      <c r="G120" s="86" t="s">
        <v>33</v>
      </c>
      <c r="H120" s="90">
        <f>'Smith Data'!$E$82</f>
        <v>6.1223999999999998</v>
      </c>
      <c r="I120" s="195">
        <f>'Smith Data'!$F$82*0.47</f>
        <v>54050</v>
      </c>
      <c r="J120" s="86" t="s">
        <v>50</v>
      </c>
      <c r="K120" s="86" t="s">
        <v>64</v>
      </c>
      <c r="L120" s="86" t="s">
        <v>64</v>
      </c>
      <c r="M120" s="86" t="s">
        <v>50</v>
      </c>
      <c r="N120" s="192">
        <f t="shared" si="10"/>
        <v>6.1223999999999998</v>
      </c>
      <c r="O120" s="193">
        <f t="shared" si="11"/>
        <v>54050</v>
      </c>
      <c r="P120" s="134" t="s">
        <v>75</v>
      </c>
      <c r="Q120" s="134">
        <v>1</v>
      </c>
      <c r="R120" s="134" t="s">
        <v>185</v>
      </c>
      <c r="S120" s="96" t="s">
        <v>167</v>
      </c>
      <c r="T120" s="112" t="s">
        <v>86</v>
      </c>
      <c r="U120" s="112" t="s">
        <v>104</v>
      </c>
      <c r="W120" s="84" t="str">
        <f t="shared" si="9"/>
        <v>3430000FM22LDSMITH-NON8828.23729256501nt6.1224Universal Wastes, Grease &amp; Oil Removal</v>
      </c>
      <c r="X120" s="84"/>
    </row>
    <row r="121" spans="1:24" x14ac:dyDescent="0.25">
      <c r="A121" s="86" t="s">
        <v>153</v>
      </c>
      <c r="B121" s="87" t="s">
        <v>173</v>
      </c>
      <c r="C121" s="87">
        <v>2</v>
      </c>
      <c r="D121" s="86" t="s">
        <v>111</v>
      </c>
      <c r="E121" s="86" t="s">
        <v>218</v>
      </c>
      <c r="F121" s="91">
        <f>'Smith Data'!$D$83*0.2</f>
        <v>231.4814814814815</v>
      </c>
      <c r="G121" s="86" t="s">
        <v>33</v>
      </c>
      <c r="H121" s="90">
        <f>'Smith Data'!$E$83</f>
        <v>66.325999999999993</v>
      </c>
      <c r="I121" s="90"/>
      <c r="J121" s="86" t="s">
        <v>50</v>
      </c>
      <c r="K121" s="86" t="s">
        <v>64</v>
      </c>
      <c r="L121" s="86" t="s">
        <v>64</v>
      </c>
      <c r="M121" s="86" t="s">
        <v>50</v>
      </c>
      <c r="N121" s="192">
        <f t="shared" si="10"/>
        <v>66.325999999999993</v>
      </c>
      <c r="O121" s="193">
        <f t="shared" si="11"/>
        <v>0</v>
      </c>
      <c r="P121" s="134" t="s">
        <v>75</v>
      </c>
      <c r="Q121" s="134">
        <v>1</v>
      </c>
      <c r="R121" s="134" t="s">
        <v>185</v>
      </c>
      <c r="S121" s="96" t="s">
        <v>167</v>
      </c>
      <c r="T121" s="112" t="s">
        <v>86</v>
      </c>
      <c r="U121" s="84" t="s">
        <v>104</v>
      </c>
      <c r="W121" s="84" t="str">
        <f t="shared" si="9"/>
        <v>3430000FM22LDSMITH-NON231.481481481481nt66.326Universal Wastes, Grease &amp; Oil Removal</v>
      </c>
      <c r="X121" s="84"/>
    </row>
    <row r="122" spans="1:24" x14ac:dyDescent="0.25">
      <c r="A122" s="86" t="s">
        <v>153</v>
      </c>
      <c r="B122" s="87" t="s">
        <v>173</v>
      </c>
      <c r="C122" s="87" t="s">
        <v>214</v>
      </c>
      <c r="D122" s="86" t="s">
        <v>219</v>
      </c>
      <c r="E122" s="86" t="s">
        <v>218</v>
      </c>
      <c r="F122" s="91">
        <f>'Smith Data'!$D$82*0.1</f>
        <v>1878.3483601202145</v>
      </c>
      <c r="G122" s="86" t="s">
        <v>33</v>
      </c>
      <c r="H122" s="90">
        <f>'Smith Data'!$E$82</f>
        <v>6.1223999999999998</v>
      </c>
      <c r="I122" s="195">
        <f>'Smith Data'!$F$82*0.1</f>
        <v>11500</v>
      </c>
      <c r="J122" s="86" t="s">
        <v>50</v>
      </c>
      <c r="K122" s="86" t="s">
        <v>64</v>
      </c>
      <c r="L122" s="86" t="s">
        <v>64</v>
      </c>
      <c r="M122" s="86" t="s">
        <v>50</v>
      </c>
      <c r="N122" s="192">
        <f t="shared" si="10"/>
        <v>6.1223999999999998</v>
      </c>
      <c r="O122" s="193">
        <f t="shared" si="11"/>
        <v>11500</v>
      </c>
      <c r="P122" s="134" t="s">
        <v>75</v>
      </c>
      <c r="Q122" s="134">
        <v>1</v>
      </c>
      <c r="R122" s="134" t="s">
        <v>185</v>
      </c>
      <c r="S122" s="96" t="s">
        <v>167</v>
      </c>
      <c r="T122" s="112" t="s">
        <v>86</v>
      </c>
      <c r="U122" s="112" t="s">
        <v>104</v>
      </c>
      <c r="W122" s="84" t="str">
        <f t="shared" si="9"/>
        <v>3430000FM3CC3LDCCSMITH-NON1878.34836012021nt6.1224Universal Wastes, Grease &amp; Oil Removal</v>
      </c>
      <c r="X122" s="84"/>
    </row>
    <row r="123" spans="1:24" x14ac:dyDescent="0.25">
      <c r="A123" s="86" t="s">
        <v>153</v>
      </c>
      <c r="B123" s="87" t="s">
        <v>173</v>
      </c>
      <c r="C123" s="87" t="s">
        <v>214</v>
      </c>
      <c r="D123" s="86" t="s">
        <v>219</v>
      </c>
      <c r="E123" s="86" t="s">
        <v>218</v>
      </c>
      <c r="F123" s="91">
        <f>'Smith Data'!$D$83*0.1</f>
        <v>115.74074074074075</v>
      </c>
      <c r="G123" s="86" t="s">
        <v>33</v>
      </c>
      <c r="H123" s="90">
        <f>'Smith Data'!$E$83</f>
        <v>66.325999999999993</v>
      </c>
      <c r="I123" s="90"/>
      <c r="J123" s="86" t="s">
        <v>50</v>
      </c>
      <c r="K123" s="86" t="s">
        <v>64</v>
      </c>
      <c r="L123" s="86" t="s">
        <v>64</v>
      </c>
      <c r="M123" s="86" t="s">
        <v>50</v>
      </c>
      <c r="N123" s="192">
        <f t="shared" si="10"/>
        <v>66.325999999999993</v>
      </c>
      <c r="O123" s="193">
        <f t="shared" si="11"/>
        <v>0</v>
      </c>
      <c r="P123" s="134" t="s">
        <v>75</v>
      </c>
      <c r="Q123" s="134">
        <v>1</v>
      </c>
      <c r="R123" s="134" t="s">
        <v>185</v>
      </c>
      <c r="S123" s="96" t="s">
        <v>167</v>
      </c>
      <c r="T123" s="112" t="s">
        <v>86</v>
      </c>
      <c r="U123" s="84" t="s">
        <v>104</v>
      </c>
      <c r="W123" s="84" t="str">
        <f t="shared" si="9"/>
        <v>3430000FM3CC3LDCCSMITH-NON115.740740740741nt66.326Universal Wastes, Grease &amp; Oil Removal</v>
      </c>
      <c r="X123" s="84"/>
    </row>
    <row r="124" spans="1:24" s="77" customFormat="1" x14ac:dyDescent="0.25">
      <c r="A124" s="86" t="s">
        <v>153</v>
      </c>
      <c r="B124" s="87" t="s">
        <v>173</v>
      </c>
      <c r="C124" s="87" t="s">
        <v>215</v>
      </c>
      <c r="D124" s="86" t="s">
        <v>222</v>
      </c>
      <c r="E124" s="86" t="s">
        <v>218</v>
      </c>
      <c r="F124" s="91">
        <f>'Smith Data'!$D$82*0.01</f>
        <v>187.83483601202144</v>
      </c>
      <c r="G124" s="86" t="s">
        <v>33</v>
      </c>
      <c r="H124" s="90">
        <f>'Smith Data'!$E$82</f>
        <v>6.1223999999999998</v>
      </c>
      <c r="I124" s="195">
        <f>'Smith Data'!$F$82*0.01</f>
        <v>1150</v>
      </c>
      <c r="J124" s="86" t="s">
        <v>50</v>
      </c>
      <c r="K124" s="86" t="s">
        <v>64</v>
      </c>
      <c r="L124" s="86" t="s">
        <v>64</v>
      </c>
      <c r="M124" s="86" t="s">
        <v>50</v>
      </c>
      <c r="N124" s="192">
        <f t="shared" si="10"/>
        <v>6.1223999999999998</v>
      </c>
      <c r="O124" s="193">
        <f t="shared" si="11"/>
        <v>1150</v>
      </c>
      <c r="P124" s="134" t="s">
        <v>75</v>
      </c>
      <c r="Q124" s="134">
        <v>1</v>
      </c>
      <c r="R124" s="134" t="s">
        <v>185</v>
      </c>
      <c r="S124" s="96" t="s">
        <v>167</v>
      </c>
      <c r="T124" s="112" t="s">
        <v>86</v>
      </c>
      <c r="U124" s="112" t="s">
        <v>104</v>
      </c>
      <c r="V124" s="136"/>
      <c r="W124" s="84" t="str">
        <f t="shared" si="9"/>
        <v>3430000FM4CT4LDCTSMITH-NON187.834836012021nt6.1224Universal Wastes, Grease &amp; Oil Removal</v>
      </c>
      <c r="X124" s="84"/>
    </row>
    <row r="125" spans="1:24" s="77" customFormat="1" x14ac:dyDescent="0.25">
      <c r="A125" s="86" t="s">
        <v>153</v>
      </c>
      <c r="B125" s="87" t="s">
        <v>173</v>
      </c>
      <c r="C125" s="87" t="s">
        <v>215</v>
      </c>
      <c r="D125" s="86" t="s">
        <v>222</v>
      </c>
      <c r="E125" s="86" t="s">
        <v>218</v>
      </c>
      <c r="F125" s="91">
        <f>'Smith Data'!$D$83*0.1</f>
        <v>115.74074074074075</v>
      </c>
      <c r="G125" s="86" t="s">
        <v>33</v>
      </c>
      <c r="H125" s="90">
        <f>'Smith Data'!$E$83</f>
        <v>66.325999999999993</v>
      </c>
      <c r="I125" s="90"/>
      <c r="J125" s="86" t="s">
        <v>50</v>
      </c>
      <c r="K125" s="86" t="s">
        <v>64</v>
      </c>
      <c r="L125" s="86" t="s">
        <v>64</v>
      </c>
      <c r="M125" s="86" t="s">
        <v>50</v>
      </c>
      <c r="N125" s="192">
        <f t="shared" si="10"/>
        <v>66.325999999999993</v>
      </c>
      <c r="O125" s="193">
        <f t="shared" si="11"/>
        <v>0</v>
      </c>
      <c r="P125" s="134" t="s">
        <v>75</v>
      </c>
      <c r="Q125" s="134">
        <v>1</v>
      </c>
      <c r="R125" s="134" t="s">
        <v>185</v>
      </c>
      <c r="S125" s="96" t="s">
        <v>167</v>
      </c>
      <c r="T125" s="112" t="s">
        <v>86</v>
      </c>
      <c r="U125" s="84" t="s">
        <v>104</v>
      </c>
      <c r="V125" s="136"/>
      <c r="W125" s="84" t="str">
        <f t="shared" si="9"/>
        <v>3430000FM4CT4LDCTSMITH-NON115.740740740741nt66.326Universal Wastes, Grease &amp; Oil Removal</v>
      </c>
      <c r="X125" s="84"/>
    </row>
    <row r="126" spans="1:24" s="77" customFormat="1" x14ac:dyDescent="0.25">
      <c r="A126" s="86" t="s">
        <v>113</v>
      </c>
      <c r="B126" s="87" t="s">
        <v>169</v>
      </c>
      <c r="C126" s="87" t="s">
        <v>73</v>
      </c>
      <c r="D126" s="86" t="s">
        <v>74</v>
      </c>
      <c r="E126" s="86" t="s">
        <v>218</v>
      </c>
      <c r="F126" s="91">
        <f>'Smith Data'!$D$12</f>
        <v>1</v>
      </c>
      <c r="G126" s="86" t="s">
        <v>21</v>
      </c>
      <c r="H126" s="90">
        <f>'Smith Data'!$E$12</f>
        <v>100000</v>
      </c>
      <c r="I126" s="195">
        <f>'Smith Data'!$F$12</f>
        <v>100000</v>
      </c>
      <c r="J126" s="86" t="s">
        <v>28</v>
      </c>
      <c r="K126" s="86" t="s">
        <v>64</v>
      </c>
      <c r="L126" s="86" t="s">
        <v>64</v>
      </c>
      <c r="M126" s="86" t="s">
        <v>28</v>
      </c>
      <c r="N126" s="192">
        <f t="shared" si="10"/>
        <v>100000</v>
      </c>
      <c r="O126" s="193">
        <f t="shared" si="11"/>
        <v>100000</v>
      </c>
      <c r="P126" s="134" t="s">
        <v>75</v>
      </c>
      <c r="Q126" s="134">
        <v>1</v>
      </c>
      <c r="R126" s="134" t="s">
        <v>185</v>
      </c>
      <c r="S126" s="96" t="s">
        <v>162</v>
      </c>
      <c r="T126" s="112" t="s">
        <v>86</v>
      </c>
      <c r="U126" s="84" t="s">
        <v>104</v>
      </c>
      <c r="V126" s="136">
        <v>6</v>
      </c>
      <c r="W126" s="84" t="str">
        <f t="shared" si="9"/>
        <v>311UNDCCLRSMITH-NON1ls100000Utility Disconnects</v>
      </c>
      <c r="X126" s="84"/>
    </row>
    <row r="127" spans="1:24" s="77" customFormat="1" x14ac:dyDescent="0.25">
      <c r="A127" s="86" t="s">
        <v>99</v>
      </c>
      <c r="B127" s="87" t="s">
        <v>170</v>
      </c>
      <c r="C127" s="87" t="s">
        <v>73</v>
      </c>
      <c r="D127" s="86" t="s">
        <v>74</v>
      </c>
      <c r="E127" s="86" t="s">
        <v>226</v>
      </c>
      <c r="F127" s="88">
        <v>0.6</v>
      </c>
      <c r="G127" s="86" t="s">
        <v>14</v>
      </c>
      <c r="H127" s="107">
        <f>SUMIFS($I$3:$I$129,$E$3:$E$129,$E127,$U$3:$U$129,"MARKUP",$S$3:$S$129,"REMOVAL")*0.01</f>
        <v>21065.420000000002</v>
      </c>
      <c r="I127" s="194">
        <f>F127*H127</f>
        <v>12639.252</v>
      </c>
      <c r="J127" s="108" t="s">
        <v>100</v>
      </c>
      <c r="K127" s="86" t="s">
        <v>64</v>
      </c>
      <c r="L127" s="86" t="s">
        <v>64</v>
      </c>
      <c r="M127" s="86" t="s">
        <v>100</v>
      </c>
      <c r="N127" s="192">
        <f t="shared" si="10"/>
        <v>21065.420000000002</v>
      </c>
      <c r="O127" s="193">
        <f t="shared" si="11"/>
        <v>12639.252</v>
      </c>
      <c r="P127" s="134" t="s">
        <v>76</v>
      </c>
      <c r="Q127" s="134">
        <v>1</v>
      </c>
      <c r="R127" s="134" t="s">
        <v>185</v>
      </c>
      <c r="S127" s="96" t="s">
        <v>162</v>
      </c>
      <c r="T127" s="84" t="s">
        <v>67</v>
      </c>
      <c r="U127" s="84"/>
      <c r="V127" s="136"/>
      <c r="W127" s="84" t="str">
        <f t="shared" si="9"/>
        <v>3080361CCLRSMITH-ASB0.6%21065.42WRAP-UP AND ALL-RISK INSURANCE</v>
      </c>
      <c r="X127" s="84"/>
    </row>
    <row r="128" spans="1:24" x14ac:dyDescent="0.25">
      <c r="A128" s="86" t="s">
        <v>99</v>
      </c>
      <c r="B128" s="87" t="s">
        <v>170</v>
      </c>
      <c r="C128" s="87" t="s">
        <v>73</v>
      </c>
      <c r="D128" s="86" t="s">
        <v>74</v>
      </c>
      <c r="E128" s="86" t="s">
        <v>217</v>
      </c>
      <c r="F128" s="88">
        <v>0.6</v>
      </c>
      <c r="G128" s="86" t="s">
        <v>14</v>
      </c>
      <c r="H128" s="107">
        <f>SUMIFS($I$3:$I$129,$E$3:$E$129,$E128,$U$3:$U$129,"MARKUP",$S$3:$S$129,"REMOVAL")*0.01</f>
        <v>3600</v>
      </c>
      <c r="I128" s="90">
        <f>F128*H128</f>
        <v>2160</v>
      </c>
      <c r="J128" s="108" t="s">
        <v>100</v>
      </c>
      <c r="K128" s="86" t="s">
        <v>64</v>
      </c>
      <c r="L128" s="86" t="s">
        <v>64</v>
      </c>
      <c r="M128" s="86" t="s">
        <v>100</v>
      </c>
      <c r="N128" s="192">
        <f t="shared" si="10"/>
        <v>3600</v>
      </c>
      <c r="O128" s="193">
        <f t="shared" si="11"/>
        <v>2160</v>
      </c>
      <c r="P128" s="134" t="s">
        <v>66</v>
      </c>
      <c r="Q128" s="134">
        <v>1</v>
      </c>
      <c r="R128" s="134" t="s">
        <v>185</v>
      </c>
      <c r="S128" s="96" t="s">
        <v>162</v>
      </c>
      <c r="T128" s="112" t="s">
        <v>67</v>
      </c>
      <c r="U128" s="84"/>
      <c r="V128" s="84"/>
      <c r="W128" s="84" t="str">
        <f t="shared" si="9"/>
        <v>3080361CCLRSMITH-ECO0.6%3600WRAP-UP AND ALL-RISK INSURANCE</v>
      </c>
      <c r="X128" s="84"/>
    </row>
    <row r="129" spans="1:24" x14ac:dyDescent="0.25">
      <c r="A129" s="86" t="s">
        <v>99</v>
      </c>
      <c r="B129" s="87" t="s">
        <v>170</v>
      </c>
      <c r="C129" s="87" t="s">
        <v>73</v>
      </c>
      <c r="D129" s="86" t="s">
        <v>74</v>
      </c>
      <c r="E129" s="86" t="s">
        <v>218</v>
      </c>
      <c r="F129" s="88">
        <v>0.6</v>
      </c>
      <c r="G129" s="86" t="s">
        <v>14</v>
      </c>
      <c r="H129" s="107">
        <f>SUMIFS($I$3:$I$129,$E$3:$E$129,$E129,$U$3:$U$129,"MARKUP",$S$3:$S$129,"REMOVAL")*0.01</f>
        <v>98081.825304225189</v>
      </c>
      <c r="I129" s="90">
        <f>F129*H129</f>
        <v>58849.095182535115</v>
      </c>
      <c r="J129" s="108" t="s">
        <v>100</v>
      </c>
      <c r="K129" s="86" t="s">
        <v>64</v>
      </c>
      <c r="L129" s="86" t="s">
        <v>64</v>
      </c>
      <c r="M129" s="86" t="s">
        <v>100</v>
      </c>
      <c r="N129" s="192">
        <f t="shared" si="10"/>
        <v>98081.825304225189</v>
      </c>
      <c r="O129" s="193">
        <f t="shared" si="11"/>
        <v>58849.095182535115</v>
      </c>
      <c r="P129" s="134" t="s">
        <v>75</v>
      </c>
      <c r="Q129" s="134">
        <v>1</v>
      </c>
      <c r="R129" s="134" t="s">
        <v>185</v>
      </c>
      <c r="S129" s="96" t="s">
        <v>162</v>
      </c>
      <c r="T129" s="112" t="s">
        <v>67</v>
      </c>
      <c r="U129" s="84"/>
      <c r="V129" s="84"/>
      <c r="W129" s="84" t="str">
        <f t="shared" si="9"/>
        <v>3080361CCLRSMITH-NON0.6%98081.8253042252WRAP-UP AND ALL-RISK INSURANCE</v>
      </c>
      <c r="X129" s="84"/>
    </row>
  </sheetData>
  <autoFilter ref="A2:AC129">
    <sortState ref="A3:AC129">
      <sortCondition ref="J2:J129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T90"/>
  <sheetViews>
    <sheetView showZeros="0" zoomScale="85" zoomScaleNormal="85" zoomScaleSheetLayoutView="100" workbookViewId="0">
      <pane xSplit="2" ySplit="3" topLeftCell="C49" activePane="bottomRight" state="frozen"/>
      <selection activeCell="I2" sqref="I2:I3"/>
      <selection pane="topRight" activeCell="I2" sqref="I2:I3"/>
      <selection pane="bottomLeft" activeCell="I2" sqref="I2:I3"/>
      <selection pane="bottomRight" activeCell="B62" sqref="B62"/>
    </sheetView>
  </sheetViews>
  <sheetFormatPr defaultRowHeight="15" x14ac:dyDescent="0.25"/>
  <cols>
    <col min="1" max="1" width="8.5703125" style="1" customWidth="1"/>
    <col min="2" max="2" width="51.7109375" style="2" customWidth="1"/>
    <col min="3" max="3" width="4.85546875" style="63" bestFit="1" customWidth="1"/>
    <col min="4" max="4" width="10.140625" style="64" bestFit="1" customWidth="1"/>
    <col min="5" max="5" width="11.85546875" style="65" bestFit="1" customWidth="1"/>
    <col min="6" max="6" width="12.5703125" style="66" bestFit="1" customWidth="1"/>
    <col min="7" max="7" width="1.85546875" style="67" customWidth="1"/>
    <col min="8" max="8" width="5.5703125" style="68" bestFit="1" customWidth="1"/>
    <col min="9" max="9" width="9.28515625" style="63" bestFit="1" customWidth="1"/>
    <col min="10" max="10" width="7.7109375" style="69" bestFit="1" customWidth="1"/>
    <col min="11" max="11" width="10" style="7" customWidth="1"/>
    <col min="12" max="12" width="4.7109375" style="7" bestFit="1" customWidth="1"/>
    <col min="13" max="13" width="9.28515625" style="2" customWidth="1"/>
    <col min="14" max="14" width="4.7109375" style="7" bestFit="1" customWidth="1"/>
    <col min="15" max="15" width="9.28515625" style="7" bestFit="1" customWidth="1"/>
    <col min="16" max="16" width="4.5703125" style="7" bestFit="1" customWidth="1"/>
    <col min="17" max="17" width="9.28515625" style="2" bestFit="1" customWidth="1"/>
    <col min="18" max="18" width="2" style="67" customWidth="1"/>
    <col min="19" max="19" width="5.7109375" style="68" bestFit="1" customWidth="1"/>
    <col min="20" max="20" width="10.85546875" style="7" bestFit="1" customWidth="1"/>
    <col min="21" max="21" width="5.5703125" style="69" bestFit="1" customWidth="1"/>
    <col min="22" max="22" width="10.85546875" style="7" bestFit="1" customWidth="1"/>
    <col min="23" max="23" width="6.7109375" style="7" bestFit="1" customWidth="1"/>
    <col min="24" max="24" width="10.85546875" style="2" bestFit="1" customWidth="1"/>
    <col min="25" max="25" width="5.7109375" style="7" bestFit="1" customWidth="1"/>
    <col min="26" max="26" width="10.85546875" style="7" bestFit="1" customWidth="1"/>
    <col min="27" max="27" width="5.7109375" style="7" bestFit="1" customWidth="1"/>
    <col min="28" max="28" width="10.85546875" style="2" bestFit="1" customWidth="1"/>
    <col min="29" max="29" width="1.42578125" style="70" customWidth="1"/>
    <col min="30" max="30" width="5.5703125" style="68" bestFit="1" customWidth="1"/>
    <col min="31" max="31" width="12.5703125" style="7" bestFit="1" customWidth="1"/>
    <col min="32" max="32" width="5.5703125" style="69" bestFit="1" customWidth="1"/>
    <col min="33" max="33" width="11.5703125" style="7" bestFit="1" customWidth="1"/>
    <col min="34" max="34" width="5.5703125" style="7" bestFit="1" customWidth="1"/>
    <col min="35" max="35" width="11.5703125" style="2" bestFit="1" customWidth="1"/>
    <col min="36" max="36" width="5.7109375" style="7" bestFit="1" customWidth="1"/>
    <col min="37" max="37" width="11.5703125" style="7" customWidth="1"/>
    <col min="38" max="38" width="5.7109375" style="7" bestFit="1" customWidth="1"/>
    <col min="39" max="39" width="11.5703125" style="2" bestFit="1" customWidth="1"/>
    <col min="40" max="40" width="1.28515625" style="70" customWidth="1"/>
    <col min="41" max="41" width="5.5703125" style="68" bestFit="1" customWidth="1"/>
    <col min="42" max="42" width="11.5703125" style="7" customWidth="1"/>
    <col min="43" max="43" width="5.7109375" style="69" bestFit="1" customWidth="1"/>
    <col min="44" max="44" width="11.5703125" style="7" bestFit="1" customWidth="1"/>
    <col min="45" max="45" width="5.7109375" style="7" bestFit="1" customWidth="1"/>
    <col min="46" max="46" width="11.5703125" style="2" bestFit="1" customWidth="1"/>
    <col min="47" max="47" width="5.7109375" style="7" bestFit="1" customWidth="1"/>
    <col min="48" max="48" width="11.5703125" style="7" customWidth="1"/>
    <col min="49" max="49" width="5.7109375" style="7" bestFit="1" customWidth="1"/>
    <col min="50" max="50" width="11.5703125" style="2" bestFit="1" customWidth="1"/>
    <col min="51" max="51" width="1.7109375" style="70" customWidth="1"/>
    <col min="52" max="52" width="5.5703125" style="68" bestFit="1" customWidth="1"/>
    <col min="53" max="53" width="11.5703125" style="7" customWidth="1"/>
    <col min="54" max="54" width="5.5703125" style="69" bestFit="1" customWidth="1"/>
    <col min="55" max="55" width="11.5703125" style="7" bestFit="1" customWidth="1"/>
    <col min="56" max="56" width="5.5703125" style="7" bestFit="1" customWidth="1"/>
    <col min="57" max="57" width="11.5703125" style="2" bestFit="1" customWidth="1"/>
    <col min="58" max="58" width="5.7109375" style="7" bestFit="1" customWidth="1"/>
    <col min="59" max="59" width="11.5703125" style="7" customWidth="1"/>
    <col min="60" max="60" width="5.7109375" style="7" bestFit="1" customWidth="1"/>
    <col min="61" max="61" width="11.5703125" style="2" bestFit="1" customWidth="1"/>
    <col min="62" max="62" width="1.28515625" style="70" customWidth="1"/>
    <col min="63" max="63" width="5.7109375" style="68" bestFit="1" customWidth="1"/>
    <col min="64" max="64" width="11.5703125" style="7" customWidth="1"/>
    <col min="65" max="65" width="5.5703125" style="69" bestFit="1" customWidth="1"/>
    <col min="66" max="66" width="11.5703125" style="7" bestFit="1" customWidth="1"/>
    <col min="67" max="67" width="5.5703125" style="7" bestFit="1" customWidth="1"/>
    <col min="68" max="68" width="11.5703125" style="2" bestFit="1" customWidth="1"/>
    <col min="69" max="69" width="5.7109375" style="7" bestFit="1" customWidth="1"/>
    <col min="70" max="70" width="11.5703125" style="7" customWidth="1"/>
    <col min="71" max="71" width="5.7109375" style="7" bestFit="1" customWidth="1"/>
    <col min="72" max="72" width="10" style="2" bestFit="1" customWidth="1"/>
    <col min="73" max="73" width="2.42578125" style="70" customWidth="1"/>
    <col min="74" max="74" width="4.7109375" style="68" bestFit="1" customWidth="1"/>
    <col min="75" max="75" width="11.85546875" style="7" bestFit="1" customWidth="1"/>
    <col min="76" max="76" width="5.5703125" style="69" bestFit="1" customWidth="1"/>
    <col min="77" max="77" width="8.28515625" style="7" bestFit="1" customWidth="1"/>
    <col min="78" max="78" width="6.5703125" style="7" bestFit="1" customWidth="1"/>
    <col min="79" max="79" width="8.28515625" style="2" bestFit="1" customWidth="1"/>
    <col min="80" max="80" width="5.7109375" style="7" bestFit="1" customWidth="1"/>
    <col min="81" max="81" width="8.28515625" style="7" bestFit="1" customWidth="1"/>
    <col min="82" max="82" width="5.7109375" style="7" bestFit="1" customWidth="1"/>
    <col min="83" max="83" width="8.28515625" style="2" bestFit="1" customWidth="1"/>
    <col min="84" max="84" width="1.85546875" style="70" customWidth="1"/>
    <col min="85" max="85" width="5.5703125" style="68" bestFit="1" customWidth="1"/>
    <col min="86" max="86" width="11.5703125" style="7" customWidth="1"/>
    <col min="87" max="87" width="5.5703125" style="69" bestFit="1" customWidth="1"/>
    <col min="88" max="88" width="11.5703125" style="7" bestFit="1" customWidth="1"/>
    <col min="89" max="89" width="5.5703125" style="7" bestFit="1" customWidth="1"/>
    <col min="90" max="90" width="11.5703125" style="2" bestFit="1" customWidth="1"/>
    <col min="91" max="91" width="5.7109375" style="7" bestFit="1" customWidth="1"/>
    <col min="92" max="92" width="11.5703125" style="7" customWidth="1"/>
    <col min="93" max="93" width="5.7109375" style="7" bestFit="1" customWidth="1"/>
    <col min="94" max="94" width="11.5703125" style="2" bestFit="1" customWidth="1"/>
    <col min="95" max="95" width="14.28515625" style="6" bestFit="1" customWidth="1"/>
    <col min="96" max="96" width="13.28515625" style="7" customWidth="1"/>
    <col min="97" max="97" width="12.42578125" style="7" customWidth="1"/>
    <col min="98" max="16384" width="9.140625" style="2"/>
  </cols>
  <sheetData>
    <row r="1" spans="1:98" x14ac:dyDescent="0.25">
      <c r="C1" s="207" t="s">
        <v>0</v>
      </c>
      <c r="D1" s="208"/>
      <c r="E1" s="208"/>
      <c r="F1" s="208"/>
      <c r="G1" s="3"/>
      <c r="H1" s="203" t="s">
        <v>1</v>
      </c>
      <c r="I1" s="204"/>
      <c r="J1" s="204"/>
      <c r="K1" s="204"/>
      <c r="L1" s="204"/>
      <c r="M1" s="204"/>
      <c r="N1" s="204"/>
      <c r="O1" s="204"/>
      <c r="P1" s="204"/>
      <c r="Q1" s="204"/>
      <c r="R1" s="3"/>
      <c r="S1" s="203" t="s">
        <v>2</v>
      </c>
      <c r="T1" s="204"/>
      <c r="U1" s="204"/>
      <c r="V1" s="204"/>
      <c r="W1" s="204"/>
      <c r="X1" s="204"/>
      <c r="Y1" s="204"/>
      <c r="Z1" s="204"/>
      <c r="AA1" s="204"/>
      <c r="AB1" s="204"/>
      <c r="AC1" s="4"/>
      <c r="AD1" s="203" t="s">
        <v>3</v>
      </c>
      <c r="AE1" s="204"/>
      <c r="AF1" s="204"/>
      <c r="AG1" s="204"/>
      <c r="AH1" s="204"/>
      <c r="AI1" s="204"/>
      <c r="AJ1" s="204"/>
      <c r="AK1" s="204"/>
      <c r="AL1" s="204"/>
      <c r="AM1" s="204"/>
      <c r="AN1" s="4"/>
      <c r="AO1" s="203" t="s">
        <v>4</v>
      </c>
      <c r="AP1" s="204"/>
      <c r="AQ1" s="204"/>
      <c r="AR1" s="204"/>
      <c r="AS1" s="204"/>
      <c r="AT1" s="204"/>
      <c r="AU1" s="204"/>
      <c r="AV1" s="204"/>
      <c r="AW1" s="204"/>
      <c r="AX1" s="204"/>
      <c r="AY1" s="4"/>
      <c r="AZ1" s="203" t="s">
        <v>5</v>
      </c>
      <c r="BA1" s="204"/>
      <c r="BB1" s="204"/>
      <c r="BC1" s="204"/>
      <c r="BD1" s="204"/>
      <c r="BE1" s="204"/>
      <c r="BF1" s="204"/>
      <c r="BG1" s="204"/>
      <c r="BH1" s="204"/>
      <c r="BI1" s="204"/>
      <c r="BJ1" s="4"/>
      <c r="BK1" s="203" t="s">
        <v>6</v>
      </c>
      <c r="BL1" s="204"/>
      <c r="BM1" s="204"/>
      <c r="BN1" s="204"/>
      <c r="BO1" s="204"/>
      <c r="BP1" s="204"/>
      <c r="BQ1" s="204"/>
      <c r="BR1" s="204"/>
      <c r="BS1" s="115"/>
      <c r="BT1" s="115"/>
      <c r="BU1" s="4"/>
      <c r="BV1" s="203" t="s">
        <v>7</v>
      </c>
      <c r="BW1" s="204"/>
      <c r="BX1" s="204"/>
      <c r="BY1" s="204"/>
      <c r="BZ1" s="204"/>
      <c r="CA1" s="204"/>
      <c r="CB1" s="204"/>
      <c r="CC1" s="204"/>
      <c r="CD1" s="204"/>
      <c r="CE1" s="204"/>
      <c r="CF1" s="4"/>
      <c r="CG1" s="203" t="s">
        <v>8</v>
      </c>
      <c r="CH1" s="204"/>
      <c r="CI1" s="204"/>
      <c r="CJ1" s="204"/>
      <c r="CK1" s="204"/>
      <c r="CL1" s="204"/>
      <c r="CM1" s="204"/>
      <c r="CN1" s="204"/>
      <c r="CO1" s="204"/>
      <c r="CP1" s="204"/>
    </row>
    <row r="2" spans="1:98" s="9" customFormat="1" ht="57.75" customHeight="1" x14ac:dyDescent="0.25">
      <c r="A2" s="8"/>
      <c r="C2" s="205"/>
      <c r="D2" s="206"/>
      <c r="E2" s="206"/>
      <c r="F2" s="206"/>
      <c r="G2" s="10"/>
      <c r="H2" s="11"/>
      <c r="I2" s="12"/>
      <c r="J2" s="201" t="s">
        <v>187</v>
      </c>
      <c r="K2" s="202"/>
      <c r="L2" s="201" t="s">
        <v>188</v>
      </c>
      <c r="M2" s="202"/>
      <c r="N2" s="201" t="s">
        <v>189</v>
      </c>
      <c r="O2" s="202"/>
      <c r="P2" s="201" t="s">
        <v>190</v>
      </c>
      <c r="Q2" s="202"/>
      <c r="R2" s="10"/>
      <c r="S2" s="11"/>
      <c r="T2" s="12"/>
      <c r="U2" s="201" t="s">
        <v>187</v>
      </c>
      <c r="V2" s="202"/>
      <c r="W2" s="201" t="s">
        <v>188</v>
      </c>
      <c r="X2" s="202"/>
      <c r="Y2" s="201" t="s">
        <v>189</v>
      </c>
      <c r="Z2" s="202"/>
      <c r="AA2" s="201" t="s">
        <v>190</v>
      </c>
      <c r="AB2" s="202"/>
      <c r="AC2" s="13"/>
      <c r="AD2" s="11"/>
      <c r="AE2" s="12"/>
      <c r="AF2" s="201" t="s">
        <v>187</v>
      </c>
      <c r="AG2" s="202"/>
      <c r="AH2" s="201" t="s">
        <v>188</v>
      </c>
      <c r="AI2" s="202"/>
      <c r="AJ2" s="201" t="s">
        <v>189</v>
      </c>
      <c r="AK2" s="202"/>
      <c r="AL2" s="201" t="s">
        <v>190</v>
      </c>
      <c r="AM2" s="202"/>
      <c r="AN2" s="13"/>
      <c r="AO2" s="11"/>
      <c r="AP2" s="12"/>
      <c r="AQ2" s="201" t="s">
        <v>187</v>
      </c>
      <c r="AR2" s="202"/>
      <c r="AS2" s="201" t="s">
        <v>188</v>
      </c>
      <c r="AT2" s="202"/>
      <c r="AU2" s="201" t="s">
        <v>189</v>
      </c>
      <c r="AV2" s="202"/>
      <c r="AW2" s="201" t="s">
        <v>190</v>
      </c>
      <c r="AX2" s="202"/>
      <c r="AY2" s="13"/>
      <c r="AZ2" s="11"/>
      <c r="BA2" s="12"/>
      <c r="BB2" s="201" t="s">
        <v>187</v>
      </c>
      <c r="BC2" s="202"/>
      <c r="BD2" s="201" t="s">
        <v>188</v>
      </c>
      <c r="BE2" s="202"/>
      <c r="BF2" s="201" t="s">
        <v>189</v>
      </c>
      <c r="BG2" s="202"/>
      <c r="BH2" s="201" t="s">
        <v>190</v>
      </c>
      <c r="BI2" s="202"/>
      <c r="BJ2" s="13"/>
      <c r="BK2" s="11"/>
      <c r="BL2" s="12"/>
      <c r="BM2" s="201" t="s">
        <v>187</v>
      </c>
      <c r="BN2" s="202"/>
      <c r="BO2" s="201" t="s">
        <v>188</v>
      </c>
      <c r="BP2" s="202"/>
      <c r="BQ2" s="201" t="s">
        <v>189</v>
      </c>
      <c r="BR2" s="202"/>
      <c r="BS2" s="201" t="s">
        <v>190</v>
      </c>
      <c r="BT2" s="202"/>
      <c r="BU2" s="13"/>
      <c r="BV2" s="11"/>
      <c r="BW2" s="12"/>
      <c r="BX2" s="201" t="s">
        <v>187</v>
      </c>
      <c r="BY2" s="202"/>
      <c r="BZ2" s="201" t="s">
        <v>188</v>
      </c>
      <c r="CA2" s="202"/>
      <c r="CB2" s="201" t="s">
        <v>189</v>
      </c>
      <c r="CC2" s="202"/>
      <c r="CD2" s="201" t="s">
        <v>190</v>
      </c>
      <c r="CE2" s="202"/>
      <c r="CF2" s="13"/>
      <c r="CG2" s="11"/>
      <c r="CH2" s="12"/>
      <c r="CI2" s="201" t="s">
        <v>187</v>
      </c>
      <c r="CJ2" s="202"/>
      <c r="CK2" s="201" t="s">
        <v>188</v>
      </c>
      <c r="CL2" s="202"/>
      <c r="CM2" s="201" t="s">
        <v>189</v>
      </c>
      <c r="CN2" s="202"/>
      <c r="CO2" s="201" t="s">
        <v>190</v>
      </c>
      <c r="CP2" s="202"/>
      <c r="CQ2" s="14"/>
      <c r="CR2" s="15"/>
      <c r="CS2" s="15"/>
    </row>
    <row r="3" spans="1:98" s="16" customFormat="1" ht="30" x14ac:dyDescent="0.25">
      <c r="B3" s="16" t="s">
        <v>9</v>
      </c>
      <c r="C3" s="17" t="s">
        <v>10</v>
      </c>
      <c r="D3" s="18" t="s">
        <v>11</v>
      </c>
      <c r="E3" s="19" t="s">
        <v>12</v>
      </c>
      <c r="F3" s="20" t="s">
        <v>13</v>
      </c>
      <c r="G3" s="21"/>
      <c r="H3" s="22" t="s">
        <v>14</v>
      </c>
      <c r="I3" s="23" t="s">
        <v>0</v>
      </c>
      <c r="J3" s="24" t="s">
        <v>14</v>
      </c>
      <c r="K3" s="25" t="s">
        <v>13</v>
      </c>
      <c r="L3" s="26" t="s">
        <v>14</v>
      </c>
      <c r="M3" s="25" t="s">
        <v>13</v>
      </c>
      <c r="N3" s="26" t="s">
        <v>14</v>
      </c>
      <c r="O3" s="25" t="s">
        <v>13</v>
      </c>
      <c r="P3" s="26" t="s">
        <v>14</v>
      </c>
      <c r="Q3" s="25" t="s">
        <v>13</v>
      </c>
      <c r="R3" s="21"/>
      <c r="S3" s="22" t="s">
        <v>14</v>
      </c>
      <c r="T3" s="23" t="s">
        <v>0</v>
      </c>
      <c r="U3" s="24" t="s">
        <v>14</v>
      </c>
      <c r="V3" s="25" t="s">
        <v>13</v>
      </c>
      <c r="W3" s="26" t="s">
        <v>14</v>
      </c>
      <c r="X3" s="25" t="s">
        <v>13</v>
      </c>
      <c r="Y3" s="26" t="s">
        <v>14</v>
      </c>
      <c r="Z3" s="25" t="s">
        <v>13</v>
      </c>
      <c r="AA3" s="26" t="s">
        <v>14</v>
      </c>
      <c r="AB3" s="25" t="s">
        <v>13</v>
      </c>
      <c r="AC3" s="27"/>
      <c r="AD3" s="22" t="s">
        <v>14</v>
      </c>
      <c r="AE3" s="23" t="s">
        <v>0</v>
      </c>
      <c r="AF3" s="24" t="s">
        <v>14</v>
      </c>
      <c r="AG3" s="25" t="s">
        <v>13</v>
      </c>
      <c r="AH3" s="26" t="s">
        <v>14</v>
      </c>
      <c r="AI3" s="25" t="s">
        <v>13</v>
      </c>
      <c r="AJ3" s="26" t="s">
        <v>14</v>
      </c>
      <c r="AK3" s="25" t="s">
        <v>13</v>
      </c>
      <c r="AL3" s="26" t="s">
        <v>14</v>
      </c>
      <c r="AM3" s="25" t="s">
        <v>13</v>
      </c>
      <c r="AN3" s="27"/>
      <c r="AO3" s="22" t="s">
        <v>14</v>
      </c>
      <c r="AP3" s="23" t="s">
        <v>0</v>
      </c>
      <c r="AQ3" s="24" t="s">
        <v>14</v>
      </c>
      <c r="AR3" s="25" t="s">
        <v>13</v>
      </c>
      <c r="AS3" s="26" t="s">
        <v>14</v>
      </c>
      <c r="AT3" s="25" t="s">
        <v>13</v>
      </c>
      <c r="AU3" s="26" t="s">
        <v>14</v>
      </c>
      <c r="AV3" s="25" t="s">
        <v>13</v>
      </c>
      <c r="AW3" s="26" t="s">
        <v>14</v>
      </c>
      <c r="AX3" s="25" t="s">
        <v>13</v>
      </c>
      <c r="AY3" s="27"/>
      <c r="AZ3" s="22" t="s">
        <v>14</v>
      </c>
      <c r="BA3" s="23" t="s">
        <v>0</v>
      </c>
      <c r="BB3" s="24" t="s">
        <v>14</v>
      </c>
      <c r="BC3" s="25" t="s">
        <v>13</v>
      </c>
      <c r="BD3" s="26" t="s">
        <v>14</v>
      </c>
      <c r="BE3" s="25" t="s">
        <v>13</v>
      </c>
      <c r="BF3" s="26" t="s">
        <v>14</v>
      </c>
      <c r="BG3" s="25" t="s">
        <v>13</v>
      </c>
      <c r="BH3" s="26" t="s">
        <v>14</v>
      </c>
      <c r="BI3" s="25" t="s">
        <v>13</v>
      </c>
      <c r="BJ3" s="27"/>
      <c r="BK3" s="22" t="s">
        <v>14</v>
      </c>
      <c r="BL3" s="23" t="s">
        <v>0</v>
      </c>
      <c r="BM3" s="24" t="s">
        <v>14</v>
      </c>
      <c r="BN3" s="25" t="s">
        <v>13</v>
      </c>
      <c r="BO3" s="26" t="s">
        <v>14</v>
      </c>
      <c r="BP3" s="25" t="s">
        <v>13</v>
      </c>
      <c r="BQ3" s="26" t="s">
        <v>14</v>
      </c>
      <c r="BR3" s="25" t="s">
        <v>13</v>
      </c>
      <c r="BS3" s="26" t="s">
        <v>14</v>
      </c>
      <c r="BT3" s="25" t="s">
        <v>13</v>
      </c>
      <c r="BU3" s="27"/>
      <c r="BV3" s="22" t="s">
        <v>14</v>
      </c>
      <c r="BW3" s="23" t="s">
        <v>0</v>
      </c>
      <c r="BX3" s="24" t="s">
        <v>14</v>
      </c>
      <c r="BY3" s="25" t="s">
        <v>13</v>
      </c>
      <c r="BZ3" s="26" t="s">
        <v>14</v>
      </c>
      <c r="CA3" s="25" t="s">
        <v>13</v>
      </c>
      <c r="CB3" s="26" t="s">
        <v>14</v>
      </c>
      <c r="CC3" s="25" t="s">
        <v>13</v>
      </c>
      <c r="CD3" s="26" t="s">
        <v>14</v>
      </c>
      <c r="CE3" s="25" t="s">
        <v>13</v>
      </c>
      <c r="CF3" s="27"/>
      <c r="CG3" s="22" t="s">
        <v>14</v>
      </c>
      <c r="CH3" s="23" t="s">
        <v>0</v>
      </c>
      <c r="CI3" s="24" t="s">
        <v>14</v>
      </c>
      <c r="CJ3" s="25" t="s">
        <v>13</v>
      </c>
      <c r="CK3" s="26" t="s">
        <v>14</v>
      </c>
      <c r="CL3" s="25" t="s">
        <v>13</v>
      </c>
      <c r="CM3" s="26" t="s">
        <v>14</v>
      </c>
      <c r="CN3" s="25" t="s">
        <v>13</v>
      </c>
      <c r="CO3" s="26" t="s">
        <v>14</v>
      </c>
      <c r="CP3" s="25" t="s">
        <v>13</v>
      </c>
      <c r="CQ3" s="28" t="s">
        <v>15</v>
      </c>
      <c r="CR3" s="29" t="s">
        <v>16</v>
      </c>
      <c r="CS3" s="29" t="s">
        <v>17</v>
      </c>
      <c r="CT3" s="16" t="s">
        <v>18</v>
      </c>
    </row>
    <row r="4" spans="1:98" s="16" customFormat="1" x14ac:dyDescent="0.25">
      <c r="A4" s="30" t="s">
        <v>19</v>
      </c>
      <c r="C4" s="31"/>
      <c r="D4" s="32"/>
      <c r="E4" s="33"/>
      <c r="F4" s="34">
        <v>0</v>
      </c>
      <c r="G4" s="35"/>
      <c r="H4" s="36"/>
      <c r="I4" s="37">
        <f>H4*$F4</f>
        <v>0</v>
      </c>
      <c r="J4" s="38"/>
      <c r="K4" s="39">
        <f>J4*I4</f>
        <v>0</v>
      </c>
      <c r="L4" s="38"/>
      <c r="M4" s="39">
        <f>L4*I4</f>
        <v>0</v>
      </c>
      <c r="N4" s="38"/>
      <c r="O4" s="39">
        <f>N4*I4</f>
        <v>0</v>
      </c>
      <c r="P4" s="38"/>
      <c r="Q4" s="39">
        <f>P4*I4</f>
        <v>0</v>
      </c>
      <c r="R4" s="35"/>
      <c r="S4" s="36"/>
      <c r="T4" s="37">
        <f>S4*$F4</f>
        <v>0</v>
      </c>
      <c r="U4" s="38"/>
      <c r="V4" s="39">
        <f>U4*T4</f>
        <v>0</v>
      </c>
      <c r="W4" s="38"/>
      <c r="X4" s="39">
        <f>W4*T4</f>
        <v>0</v>
      </c>
      <c r="Y4" s="38"/>
      <c r="Z4" s="39">
        <f>Y4*T4</f>
        <v>0</v>
      </c>
      <c r="AA4" s="38"/>
      <c r="AB4" s="39">
        <f>AA4*T4</f>
        <v>0</v>
      </c>
      <c r="AC4" s="40"/>
      <c r="AD4" s="36"/>
      <c r="AE4" s="37">
        <f>AD4*$F4</f>
        <v>0</v>
      </c>
      <c r="AF4" s="38"/>
      <c r="AG4" s="39">
        <f>AF4*AE4</f>
        <v>0</v>
      </c>
      <c r="AH4" s="38"/>
      <c r="AI4" s="39">
        <f>AH4*AE4</f>
        <v>0</v>
      </c>
      <c r="AJ4" s="38"/>
      <c r="AK4" s="39">
        <f>AJ4*AE4</f>
        <v>0</v>
      </c>
      <c r="AL4" s="38"/>
      <c r="AM4" s="39">
        <f>AL4*AE4</f>
        <v>0</v>
      </c>
      <c r="AN4" s="40"/>
      <c r="AO4" s="36"/>
      <c r="AP4" s="37">
        <f>AO4*$F4</f>
        <v>0</v>
      </c>
      <c r="AQ4" s="38"/>
      <c r="AR4" s="39">
        <f>AQ4*AP4</f>
        <v>0</v>
      </c>
      <c r="AS4" s="38"/>
      <c r="AT4" s="39">
        <f>AS4*AP4</f>
        <v>0</v>
      </c>
      <c r="AU4" s="38"/>
      <c r="AV4" s="39">
        <f>AU4*AP4</f>
        <v>0</v>
      </c>
      <c r="AW4" s="38"/>
      <c r="AX4" s="39">
        <f>AW4*AP4</f>
        <v>0</v>
      </c>
      <c r="AY4" s="40"/>
      <c r="AZ4" s="36"/>
      <c r="BA4" s="37">
        <f>AZ4*$F4</f>
        <v>0</v>
      </c>
      <c r="BB4" s="38"/>
      <c r="BC4" s="39">
        <f>BB4*BA4</f>
        <v>0</v>
      </c>
      <c r="BD4" s="38"/>
      <c r="BE4" s="39">
        <f>BD4*BA4</f>
        <v>0</v>
      </c>
      <c r="BF4" s="38"/>
      <c r="BG4" s="39">
        <f>BF4*BA4</f>
        <v>0</v>
      </c>
      <c r="BH4" s="38"/>
      <c r="BI4" s="39">
        <f>BH4*BA4</f>
        <v>0</v>
      </c>
      <c r="BJ4" s="40"/>
      <c r="BK4" s="36"/>
      <c r="BL4" s="37">
        <f>BK4*$F4</f>
        <v>0</v>
      </c>
      <c r="BM4" s="38"/>
      <c r="BN4" s="39">
        <f>BM4*BL4</f>
        <v>0</v>
      </c>
      <c r="BO4" s="38"/>
      <c r="BP4" s="39">
        <f>BO4*BL4</f>
        <v>0</v>
      </c>
      <c r="BQ4" s="38"/>
      <c r="BR4" s="39">
        <f>BQ4*BL4</f>
        <v>0</v>
      </c>
      <c r="BS4" s="38"/>
      <c r="BT4" s="39">
        <f>BS4*BL4</f>
        <v>0</v>
      </c>
      <c r="BU4" s="40"/>
      <c r="BV4" s="36"/>
      <c r="BW4" s="37">
        <f>BV4*$F4</f>
        <v>0</v>
      </c>
      <c r="BX4" s="38"/>
      <c r="BY4" s="39">
        <f>BX4*BW4</f>
        <v>0</v>
      </c>
      <c r="BZ4" s="38"/>
      <c r="CA4" s="39">
        <f>BZ4*BW4</f>
        <v>0</v>
      </c>
      <c r="CB4" s="38"/>
      <c r="CC4" s="39">
        <f>CB4*BW4</f>
        <v>0</v>
      </c>
      <c r="CD4" s="38"/>
      <c r="CE4" s="39">
        <f>CD4*BW4</f>
        <v>0</v>
      </c>
      <c r="CF4" s="40"/>
      <c r="CG4" s="36"/>
      <c r="CH4" s="37">
        <f>CG4*$F4</f>
        <v>0</v>
      </c>
      <c r="CI4" s="38"/>
      <c r="CJ4" s="39">
        <f>CI4*CH4</f>
        <v>0</v>
      </c>
      <c r="CK4" s="38"/>
      <c r="CL4" s="39">
        <f>CK4*CH4</f>
        <v>0</v>
      </c>
      <c r="CM4" s="38"/>
      <c r="CN4" s="39">
        <f>CM4*CH4</f>
        <v>0</v>
      </c>
      <c r="CO4" s="38"/>
      <c r="CP4" s="39">
        <f>CO4*CH4</f>
        <v>0</v>
      </c>
      <c r="CQ4" s="41">
        <f t="shared" ref="CQ4:CQ29" si="0">F4</f>
        <v>0</v>
      </c>
      <c r="CR4" s="41">
        <f t="shared" ref="CR4:CR29" si="1">I4+T4+AE4+AP4+BA4+BL4+BW4+CH4</f>
        <v>0</v>
      </c>
      <c r="CS4" s="41">
        <f>SUM(CP4,CN4,CL4,CJ4,CE4,CC4,CA4,BY4,BT4,BR4,BP4,BN4,BI4,BG4,BE4,BC4,AX4,AV4,AT4,AR4,AM4,AK4,AI4,AG4,AB4,Z4,X4,V4,Q4,O4,M4,K4)</f>
        <v>0</v>
      </c>
      <c r="CT4" s="16">
        <f>IF(AND(CQ4=CR4,CR4=CS4,CQ4=CS4),0,1)</f>
        <v>0</v>
      </c>
    </row>
    <row r="5" spans="1:98" s="16" customFormat="1" x14ac:dyDescent="0.25">
      <c r="B5" s="2" t="s">
        <v>20</v>
      </c>
      <c r="C5" s="42" t="s">
        <v>21</v>
      </c>
      <c r="D5" s="43">
        <v>1</v>
      </c>
      <c r="E5" s="34">
        <v>50000</v>
      </c>
      <c r="F5" s="34">
        <v>50000</v>
      </c>
      <c r="G5" s="40"/>
      <c r="H5" s="36">
        <v>1</v>
      </c>
      <c r="I5" s="37">
        <f t="shared" ref="I5:I50" si="2">H5*$F5</f>
        <v>50000</v>
      </c>
      <c r="J5" s="38">
        <v>0.42</v>
      </c>
      <c r="K5" s="39">
        <f t="shared" ref="K5:K29" si="3">J5*I5</f>
        <v>21000</v>
      </c>
      <c r="L5" s="38">
        <v>0.47</v>
      </c>
      <c r="M5" s="39">
        <f t="shared" ref="M5:M29" si="4">L5*I5</f>
        <v>23500</v>
      </c>
      <c r="N5" s="38">
        <v>0.1</v>
      </c>
      <c r="O5" s="39">
        <f t="shared" ref="O5:O29" si="5">N5*I5</f>
        <v>5000</v>
      </c>
      <c r="P5" s="38">
        <v>0.01</v>
      </c>
      <c r="Q5" s="39">
        <f t="shared" ref="Q5:Q29" si="6">P5*I5</f>
        <v>500</v>
      </c>
      <c r="R5" s="40"/>
      <c r="S5" s="36"/>
      <c r="T5" s="37">
        <f t="shared" ref="T5:T50" si="7">S5*$F5</f>
        <v>0</v>
      </c>
      <c r="U5" s="38"/>
      <c r="V5" s="39">
        <f t="shared" ref="V5:V29" si="8">U5*T5</f>
        <v>0</v>
      </c>
      <c r="W5" s="38"/>
      <c r="X5" s="39">
        <f t="shared" ref="X5:X29" si="9">W5*T5</f>
        <v>0</v>
      </c>
      <c r="Y5" s="38"/>
      <c r="Z5" s="39">
        <f t="shared" ref="Z5:Z29" si="10">Y5*T5</f>
        <v>0</v>
      </c>
      <c r="AA5" s="38"/>
      <c r="AB5" s="39">
        <f t="shared" ref="AB5:AB29" si="11">AA5*T5</f>
        <v>0</v>
      </c>
      <c r="AC5" s="40"/>
      <c r="AD5" s="36"/>
      <c r="AE5" s="37">
        <f t="shared" ref="AE5:AE50" si="12">AD5*$F5</f>
        <v>0</v>
      </c>
      <c r="AF5" s="38"/>
      <c r="AG5" s="39">
        <f t="shared" ref="AG5:AG29" si="13">AF5*AE5</f>
        <v>0</v>
      </c>
      <c r="AH5" s="38"/>
      <c r="AI5" s="39">
        <f t="shared" ref="AI5:AI29" si="14">AH5*AE5</f>
        <v>0</v>
      </c>
      <c r="AJ5" s="38"/>
      <c r="AK5" s="39">
        <f t="shared" ref="AK5:AK29" si="15">AJ5*AE5</f>
        <v>0</v>
      </c>
      <c r="AL5" s="38"/>
      <c r="AM5" s="39">
        <f t="shared" ref="AM5:AM29" si="16">AL5*AE5</f>
        <v>0</v>
      </c>
      <c r="AN5" s="40"/>
      <c r="AO5" s="36"/>
      <c r="AP5" s="37">
        <f t="shared" ref="AP5:AP50" si="17">AO5*$F5</f>
        <v>0</v>
      </c>
      <c r="AQ5" s="38"/>
      <c r="AR5" s="39">
        <f t="shared" ref="AR5:AR29" si="18">AQ5*AP5</f>
        <v>0</v>
      </c>
      <c r="AS5" s="38"/>
      <c r="AT5" s="39">
        <f t="shared" ref="AT5:AT29" si="19">AS5*AP5</f>
        <v>0</v>
      </c>
      <c r="AU5" s="38"/>
      <c r="AV5" s="39">
        <f t="shared" ref="AV5:AV29" si="20">AU5*AP5</f>
        <v>0</v>
      </c>
      <c r="AW5" s="38"/>
      <c r="AX5" s="39">
        <f t="shared" ref="AX5:AX29" si="21">AW5*AP5</f>
        <v>0</v>
      </c>
      <c r="AY5" s="40"/>
      <c r="AZ5" s="36"/>
      <c r="BA5" s="37">
        <f t="shared" ref="BA5:BA50" si="22">AZ5*$F5</f>
        <v>0</v>
      </c>
      <c r="BB5" s="38"/>
      <c r="BC5" s="39">
        <f t="shared" ref="BC5:BC29" si="23">BB5*BA5</f>
        <v>0</v>
      </c>
      <c r="BD5" s="38"/>
      <c r="BE5" s="39">
        <f t="shared" ref="BE5:BE29" si="24">BD5*BA5</f>
        <v>0</v>
      </c>
      <c r="BF5" s="38"/>
      <c r="BG5" s="39">
        <f t="shared" ref="BG5:BG29" si="25">BF5*BA5</f>
        <v>0</v>
      </c>
      <c r="BH5" s="38"/>
      <c r="BI5" s="39">
        <f t="shared" ref="BI5:BI29" si="26">BH5*BA5</f>
        <v>0</v>
      </c>
      <c r="BJ5" s="40"/>
      <c r="BK5" s="36"/>
      <c r="BL5" s="37">
        <f t="shared" ref="BL5:BL50" si="27">BK5*$F5</f>
        <v>0</v>
      </c>
      <c r="BM5" s="38"/>
      <c r="BN5" s="39">
        <f t="shared" ref="BN5:BN29" si="28">BM5*BL5</f>
        <v>0</v>
      </c>
      <c r="BO5" s="38"/>
      <c r="BP5" s="39">
        <f t="shared" ref="BP5:BP29" si="29">BO5*BL5</f>
        <v>0</v>
      </c>
      <c r="BQ5" s="38"/>
      <c r="BR5" s="39">
        <f t="shared" ref="BR5:BR29" si="30">BQ5*BL5</f>
        <v>0</v>
      </c>
      <c r="BS5" s="38"/>
      <c r="BT5" s="39">
        <f t="shared" ref="BT5:BT29" si="31">BS5*BL5</f>
        <v>0</v>
      </c>
      <c r="BU5" s="40"/>
      <c r="BV5" s="36"/>
      <c r="BW5" s="37">
        <f t="shared" ref="BW5:BW50" si="32">BV5*$F5</f>
        <v>0</v>
      </c>
      <c r="BX5" s="38"/>
      <c r="BY5" s="39">
        <f t="shared" ref="BY5:BY29" si="33">BX5*BW5</f>
        <v>0</v>
      </c>
      <c r="BZ5" s="38"/>
      <c r="CA5" s="39">
        <f t="shared" ref="CA5:CA29" si="34">BZ5*BW5</f>
        <v>0</v>
      </c>
      <c r="CB5" s="38"/>
      <c r="CC5" s="39">
        <f t="shared" ref="CC5:CC29" si="35">CB5*BW5</f>
        <v>0</v>
      </c>
      <c r="CD5" s="38"/>
      <c r="CE5" s="39">
        <f t="shared" ref="CE5:CE29" si="36">CD5*BW5</f>
        <v>0</v>
      </c>
      <c r="CF5" s="40"/>
      <c r="CG5" s="36"/>
      <c r="CH5" s="37">
        <f t="shared" ref="CH5:CH50" si="37">CG5*$F5</f>
        <v>0</v>
      </c>
      <c r="CI5" s="38"/>
      <c r="CJ5" s="39">
        <f t="shared" ref="CJ5:CJ29" si="38">CI5*CH5</f>
        <v>0</v>
      </c>
      <c r="CK5" s="38"/>
      <c r="CL5" s="39">
        <f t="shared" ref="CL5:CL27" si="39">CK5*CH5</f>
        <v>0</v>
      </c>
      <c r="CM5" s="38"/>
      <c r="CN5" s="39">
        <f t="shared" ref="CN5:CN29" si="40">CM5*CH5</f>
        <v>0</v>
      </c>
      <c r="CO5" s="38"/>
      <c r="CP5" s="39">
        <f t="shared" ref="CP5:CP29" si="41">CO5*CH5</f>
        <v>0</v>
      </c>
      <c r="CQ5" s="41">
        <f t="shared" si="0"/>
        <v>50000</v>
      </c>
      <c r="CR5" s="41">
        <f t="shared" si="1"/>
        <v>50000</v>
      </c>
      <c r="CS5" s="41">
        <f t="shared" ref="CS5:CS68" si="42">SUM(CP5,CN5,CL5,CJ5,CE5,CC5,CA5,BY5,BT5,BR5,BP5,BN5,BI5,BG5,BE5,BC5,AX5,AV5,AT5,AR5,AM5,AK5,AI5,AG5,AB5,Z5,X5,V5,Q5,O5,M5,K5)</f>
        <v>50000</v>
      </c>
      <c r="CT5" s="16">
        <f>IF(AND(CQ5=CR5,CR5=CS5,CQ5=CS5),0,1)</f>
        <v>0</v>
      </c>
    </row>
    <row r="6" spans="1:98" s="16" customFormat="1" x14ac:dyDescent="0.25">
      <c r="B6" s="2" t="s">
        <v>22</v>
      </c>
      <c r="C6" s="42" t="s">
        <v>21</v>
      </c>
      <c r="D6" s="43">
        <v>1</v>
      </c>
      <c r="E6" s="34">
        <v>150000</v>
      </c>
      <c r="F6" s="34">
        <v>150000</v>
      </c>
      <c r="G6" s="40"/>
      <c r="H6" s="36">
        <v>1</v>
      </c>
      <c r="I6" s="37">
        <f t="shared" si="2"/>
        <v>150000</v>
      </c>
      <c r="J6" s="38">
        <v>0.42</v>
      </c>
      <c r="K6" s="39">
        <f t="shared" si="3"/>
        <v>63000</v>
      </c>
      <c r="L6" s="38">
        <v>0.47</v>
      </c>
      <c r="M6" s="39">
        <f t="shared" si="4"/>
        <v>70500</v>
      </c>
      <c r="N6" s="38">
        <v>0.1</v>
      </c>
      <c r="O6" s="39">
        <f t="shared" si="5"/>
        <v>15000</v>
      </c>
      <c r="P6" s="38">
        <v>0.01</v>
      </c>
      <c r="Q6" s="39">
        <f t="shared" si="6"/>
        <v>1500</v>
      </c>
      <c r="R6" s="40"/>
      <c r="S6" s="36"/>
      <c r="T6" s="37">
        <f t="shared" si="7"/>
        <v>0</v>
      </c>
      <c r="U6" s="38"/>
      <c r="V6" s="39">
        <f t="shared" si="8"/>
        <v>0</v>
      </c>
      <c r="W6" s="38"/>
      <c r="X6" s="39">
        <f t="shared" si="9"/>
        <v>0</v>
      </c>
      <c r="Y6" s="38"/>
      <c r="Z6" s="39">
        <f t="shared" si="10"/>
        <v>0</v>
      </c>
      <c r="AA6" s="38"/>
      <c r="AB6" s="39">
        <f t="shared" si="11"/>
        <v>0</v>
      </c>
      <c r="AC6" s="40"/>
      <c r="AD6" s="36"/>
      <c r="AE6" s="37">
        <f t="shared" si="12"/>
        <v>0</v>
      </c>
      <c r="AF6" s="38"/>
      <c r="AG6" s="39">
        <f t="shared" si="13"/>
        <v>0</v>
      </c>
      <c r="AH6" s="38"/>
      <c r="AI6" s="39">
        <f t="shared" si="14"/>
        <v>0</v>
      </c>
      <c r="AJ6" s="38"/>
      <c r="AK6" s="39">
        <f t="shared" si="15"/>
        <v>0</v>
      </c>
      <c r="AL6" s="38"/>
      <c r="AM6" s="39">
        <f t="shared" si="16"/>
        <v>0</v>
      </c>
      <c r="AN6" s="40"/>
      <c r="AO6" s="36"/>
      <c r="AP6" s="37">
        <f t="shared" si="17"/>
        <v>0</v>
      </c>
      <c r="AQ6" s="38"/>
      <c r="AR6" s="39">
        <f t="shared" si="18"/>
        <v>0</v>
      </c>
      <c r="AS6" s="38"/>
      <c r="AT6" s="39">
        <f t="shared" si="19"/>
        <v>0</v>
      </c>
      <c r="AU6" s="38"/>
      <c r="AV6" s="39">
        <f t="shared" si="20"/>
        <v>0</v>
      </c>
      <c r="AW6" s="38"/>
      <c r="AX6" s="39">
        <f t="shared" si="21"/>
        <v>0</v>
      </c>
      <c r="AY6" s="40"/>
      <c r="AZ6" s="36"/>
      <c r="BA6" s="37">
        <f t="shared" si="22"/>
        <v>0</v>
      </c>
      <c r="BB6" s="38"/>
      <c r="BC6" s="39">
        <f t="shared" si="23"/>
        <v>0</v>
      </c>
      <c r="BD6" s="38"/>
      <c r="BE6" s="39">
        <f t="shared" si="24"/>
        <v>0</v>
      </c>
      <c r="BF6" s="38"/>
      <c r="BG6" s="39">
        <f t="shared" si="25"/>
        <v>0</v>
      </c>
      <c r="BH6" s="38"/>
      <c r="BI6" s="39">
        <f t="shared" si="26"/>
        <v>0</v>
      </c>
      <c r="BJ6" s="40"/>
      <c r="BK6" s="36"/>
      <c r="BL6" s="37">
        <f t="shared" si="27"/>
        <v>0</v>
      </c>
      <c r="BM6" s="38"/>
      <c r="BN6" s="39">
        <f t="shared" si="28"/>
        <v>0</v>
      </c>
      <c r="BO6" s="38"/>
      <c r="BP6" s="39">
        <f t="shared" si="29"/>
        <v>0</v>
      </c>
      <c r="BQ6" s="38"/>
      <c r="BR6" s="39">
        <f t="shared" si="30"/>
        <v>0</v>
      </c>
      <c r="BS6" s="38"/>
      <c r="BT6" s="39">
        <f t="shared" si="31"/>
        <v>0</v>
      </c>
      <c r="BU6" s="40"/>
      <c r="BV6" s="36"/>
      <c r="BW6" s="37">
        <f t="shared" si="32"/>
        <v>0</v>
      </c>
      <c r="BX6" s="38"/>
      <c r="BY6" s="39">
        <f t="shared" si="33"/>
        <v>0</v>
      </c>
      <c r="BZ6" s="38"/>
      <c r="CA6" s="39">
        <f t="shared" si="34"/>
        <v>0</v>
      </c>
      <c r="CB6" s="38"/>
      <c r="CC6" s="39">
        <f t="shared" si="35"/>
        <v>0</v>
      </c>
      <c r="CD6" s="38"/>
      <c r="CE6" s="39">
        <f t="shared" si="36"/>
        <v>0</v>
      </c>
      <c r="CF6" s="40"/>
      <c r="CG6" s="36"/>
      <c r="CH6" s="37">
        <f t="shared" si="37"/>
        <v>0</v>
      </c>
      <c r="CI6" s="38"/>
      <c r="CJ6" s="39">
        <f t="shared" si="38"/>
        <v>0</v>
      </c>
      <c r="CK6" s="38"/>
      <c r="CL6" s="39">
        <f t="shared" si="39"/>
        <v>0</v>
      </c>
      <c r="CM6" s="38"/>
      <c r="CN6" s="39">
        <f t="shared" si="40"/>
        <v>0</v>
      </c>
      <c r="CO6" s="38"/>
      <c r="CP6" s="39">
        <f t="shared" si="41"/>
        <v>0</v>
      </c>
      <c r="CQ6" s="41">
        <f t="shared" si="0"/>
        <v>150000</v>
      </c>
      <c r="CR6" s="41">
        <f t="shared" si="1"/>
        <v>150000</v>
      </c>
      <c r="CS6" s="41">
        <f t="shared" si="42"/>
        <v>150000</v>
      </c>
      <c r="CT6" s="16">
        <f t="shared" ref="CT6:CT73" si="43">IF(AND(CQ6=CR6,CR6=CS6,CQ6=CS6),0,1)</f>
        <v>0</v>
      </c>
    </row>
    <row r="7" spans="1:98" s="16" customFormat="1" x14ac:dyDescent="0.25">
      <c r="B7" s="44" t="s">
        <v>23</v>
      </c>
      <c r="C7" s="42" t="s">
        <v>21</v>
      </c>
      <c r="D7" s="43">
        <v>1</v>
      </c>
      <c r="E7" s="34">
        <v>30000</v>
      </c>
      <c r="F7" s="34">
        <v>30000</v>
      </c>
      <c r="G7" s="40"/>
      <c r="H7" s="36">
        <v>1</v>
      </c>
      <c r="I7" s="37">
        <f t="shared" si="2"/>
        <v>30000</v>
      </c>
      <c r="J7" s="38">
        <v>0.42</v>
      </c>
      <c r="K7" s="39">
        <f t="shared" si="3"/>
        <v>12600</v>
      </c>
      <c r="L7" s="38">
        <v>0.47</v>
      </c>
      <c r="M7" s="39">
        <f t="shared" si="4"/>
        <v>14100</v>
      </c>
      <c r="N7" s="38">
        <v>0.1</v>
      </c>
      <c r="O7" s="39">
        <f t="shared" si="5"/>
        <v>3000</v>
      </c>
      <c r="P7" s="38">
        <v>0.01</v>
      </c>
      <c r="Q7" s="39">
        <f t="shared" si="6"/>
        <v>300</v>
      </c>
      <c r="R7" s="40"/>
      <c r="S7" s="36"/>
      <c r="T7" s="37">
        <f t="shared" si="7"/>
        <v>0</v>
      </c>
      <c r="U7" s="38"/>
      <c r="V7" s="39">
        <f t="shared" si="8"/>
        <v>0</v>
      </c>
      <c r="W7" s="38"/>
      <c r="X7" s="39">
        <f t="shared" si="9"/>
        <v>0</v>
      </c>
      <c r="Y7" s="38"/>
      <c r="Z7" s="39">
        <f t="shared" si="10"/>
        <v>0</v>
      </c>
      <c r="AA7" s="38"/>
      <c r="AB7" s="39">
        <f t="shared" si="11"/>
        <v>0</v>
      </c>
      <c r="AC7" s="40"/>
      <c r="AD7" s="36"/>
      <c r="AE7" s="37">
        <f t="shared" si="12"/>
        <v>0</v>
      </c>
      <c r="AF7" s="38"/>
      <c r="AG7" s="39">
        <f t="shared" si="13"/>
        <v>0</v>
      </c>
      <c r="AH7" s="38"/>
      <c r="AI7" s="39">
        <f t="shared" si="14"/>
        <v>0</v>
      </c>
      <c r="AJ7" s="38"/>
      <c r="AK7" s="39">
        <f t="shared" si="15"/>
        <v>0</v>
      </c>
      <c r="AL7" s="38"/>
      <c r="AM7" s="39">
        <f t="shared" si="16"/>
        <v>0</v>
      </c>
      <c r="AN7" s="40"/>
      <c r="AO7" s="36"/>
      <c r="AP7" s="37">
        <f t="shared" si="17"/>
        <v>0</v>
      </c>
      <c r="AQ7" s="38"/>
      <c r="AR7" s="39">
        <f t="shared" si="18"/>
        <v>0</v>
      </c>
      <c r="AS7" s="38"/>
      <c r="AT7" s="39">
        <f t="shared" si="19"/>
        <v>0</v>
      </c>
      <c r="AU7" s="38"/>
      <c r="AV7" s="39">
        <f t="shared" si="20"/>
        <v>0</v>
      </c>
      <c r="AW7" s="38"/>
      <c r="AX7" s="39">
        <f t="shared" si="21"/>
        <v>0</v>
      </c>
      <c r="AY7" s="40"/>
      <c r="AZ7" s="36"/>
      <c r="BA7" s="37">
        <f t="shared" si="22"/>
        <v>0</v>
      </c>
      <c r="BB7" s="38"/>
      <c r="BC7" s="39">
        <f t="shared" si="23"/>
        <v>0</v>
      </c>
      <c r="BD7" s="38"/>
      <c r="BE7" s="39">
        <f t="shared" si="24"/>
        <v>0</v>
      </c>
      <c r="BF7" s="38"/>
      <c r="BG7" s="39">
        <f t="shared" si="25"/>
        <v>0</v>
      </c>
      <c r="BH7" s="38"/>
      <c r="BI7" s="39">
        <f t="shared" si="26"/>
        <v>0</v>
      </c>
      <c r="BJ7" s="40"/>
      <c r="BK7" s="36"/>
      <c r="BL7" s="37">
        <f t="shared" si="27"/>
        <v>0</v>
      </c>
      <c r="BM7" s="38"/>
      <c r="BN7" s="39">
        <f t="shared" si="28"/>
        <v>0</v>
      </c>
      <c r="BO7" s="38"/>
      <c r="BP7" s="39">
        <f t="shared" si="29"/>
        <v>0</v>
      </c>
      <c r="BQ7" s="38"/>
      <c r="BR7" s="39">
        <f t="shared" si="30"/>
        <v>0</v>
      </c>
      <c r="BS7" s="38"/>
      <c r="BT7" s="39">
        <f t="shared" si="31"/>
        <v>0</v>
      </c>
      <c r="BU7" s="40"/>
      <c r="BV7" s="36"/>
      <c r="BW7" s="37">
        <f t="shared" si="32"/>
        <v>0</v>
      </c>
      <c r="BX7" s="38"/>
      <c r="BY7" s="39">
        <f t="shared" si="33"/>
        <v>0</v>
      </c>
      <c r="BZ7" s="38"/>
      <c r="CA7" s="39">
        <f t="shared" si="34"/>
        <v>0</v>
      </c>
      <c r="CB7" s="38"/>
      <c r="CC7" s="39">
        <f t="shared" si="35"/>
        <v>0</v>
      </c>
      <c r="CD7" s="38"/>
      <c r="CE7" s="39">
        <f t="shared" si="36"/>
        <v>0</v>
      </c>
      <c r="CF7" s="40"/>
      <c r="CG7" s="36"/>
      <c r="CH7" s="37">
        <f t="shared" si="37"/>
        <v>0</v>
      </c>
      <c r="CI7" s="38"/>
      <c r="CJ7" s="39">
        <f t="shared" si="38"/>
        <v>0</v>
      </c>
      <c r="CK7" s="38"/>
      <c r="CL7" s="39">
        <f t="shared" si="39"/>
        <v>0</v>
      </c>
      <c r="CM7" s="38"/>
      <c r="CN7" s="39">
        <f t="shared" si="40"/>
        <v>0</v>
      </c>
      <c r="CO7" s="38"/>
      <c r="CP7" s="39">
        <f t="shared" si="41"/>
        <v>0</v>
      </c>
      <c r="CQ7" s="41">
        <f t="shared" si="0"/>
        <v>30000</v>
      </c>
      <c r="CR7" s="41">
        <f t="shared" si="1"/>
        <v>30000</v>
      </c>
      <c r="CS7" s="41">
        <f t="shared" si="42"/>
        <v>30000</v>
      </c>
      <c r="CT7" s="16">
        <f t="shared" si="43"/>
        <v>0</v>
      </c>
    </row>
    <row r="8" spans="1:98" s="16" customFormat="1" x14ac:dyDescent="0.25">
      <c r="B8" s="2"/>
      <c r="C8" s="45"/>
      <c r="D8" s="43"/>
      <c r="E8" s="34"/>
      <c r="F8" s="34"/>
      <c r="G8" s="40"/>
      <c r="H8" s="36"/>
      <c r="I8" s="37">
        <f t="shared" si="2"/>
        <v>0</v>
      </c>
      <c r="J8" s="38"/>
      <c r="K8" s="39">
        <f t="shared" si="3"/>
        <v>0</v>
      </c>
      <c r="L8" s="38"/>
      <c r="M8" s="39">
        <f t="shared" si="4"/>
        <v>0</v>
      </c>
      <c r="N8" s="38"/>
      <c r="O8" s="39">
        <f t="shared" si="5"/>
        <v>0</v>
      </c>
      <c r="P8" s="38"/>
      <c r="Q8" s="39">
        <f t="shared" si="6"/>
        <v>0</v>
      </c>
      <c r="R8" s="40"/>
      <c r="S8" s="36"/>
      <c r="T8" s="37">
        <f t="shared" si="7"/>
        <v>0</v>
      </c>
      <c r="U8" s="38"/>
      <c r="V8" s="39">
        <f t="shared" si="8"/>
        <v>0</v>
      </c>
      <c r="W8" s="38"/>
      <c r="X8" s="39">
        <f t="shared" si="9"/>
        <v>0</v>
      </c>
      <c r="Y8" s="38"/>
      <c r="Z8" s="39">
        <f t="shared" si="10"/>
        <v>0</v>
      </c>
      <c r="AA8" s="38"/>
      <c r="AB8" s="39">
        <f t="shared" si="11"/>
        <v>0</v>
      </c>
      <c r="AC8" s="40"/>
      <c r="AD8" s="36"/>
      <c r="AE8" s="37">
        <f t="shared" si="12"/>
        <v>0</v>
      </c>
      <c r="AF8" s="38"/>
      <c r="AG8" s="39">
        <f t="shared" si="13"/>
        <v>0</v>
      </c>
      <c r="AH8" s="38"/>
      <c r="AI8" s="39">
        <f t="shared" si="14"/>
        <v>0</v>
      </c>
      <c r="AJ8" s="38"/>
      <c r="AK8" s="39">
        <f t="shared" si="15"/>
        <v>0</v>
      </c>
      <c r="AL8" s="38"/>
      <c r="AM8" s="39">
        <f t="shared" si="16"/>
        <v>0</v>
      </c>
      <c r="AN8" s="40"/>
      <c r="AO8" s="36"/>
      <c r="AP8" s="37">
        <f t="shared" si="17"/>
        <v>0</v>
      </c>
      <c r="AQ8" s="38"/>
      <c r="AR8" s="39">
        <f t="shared" si="18"/>
        <v>0</v>
      </c>
      <c r="AS8" s="38"/>
      <c r="AT8" s="39">
        <f t="shared" si="19"/>
        <v>0</v>
      </c>
      <c r="AU8" s="38"/>
      <c r="AV8" s="39">
        <f t="shared" si="20"/>
        <v>0</v>
      </c>
      <c r="AW8" s="38"/>
      <c r="AX8" s="39">
        <f t="shared" si="21"/>
        <v>0</v>
      </c>
      <c r="AY8" s="40"/>
      <c r="AZ8" s="36"/>
      <c r="BA8" s="37">
        <f t="shared" si="22"/>
        <v>0</v>
      </c>
      <c r="BB8" s="38"/>
      <c r="BC8" s="39">
        <f t="shared" si="23"/>
        <v>0</v>
      </c>
      <c r="BD8" s="38"/>
      <c r="BE8" s="39">
        <f t="shared" si="24"/>
        <v>0</v>
      </c>
      <c r="BF8" s="38"/>
      <c r="BG8" s="39">
        <f t="shared" si="25"/>
        <v>0</v>
      </c>
      <c r="BH8" s="38"/>
      <c r="BI8" s="39">
        <f t="shared" si="26"/>
        <v>0</v>
      </c>
      <c r="BJ8" s="40"/>
      <c r="BK8" s="36"/>
      <c r="BL8" s="37">
        <f t="shared" si="27"/>
        <v>0</v>
      </c>
      <c r="BM8" s="38"/>
      <c r="BN8" s="39">
        <f t="shared" si="28"/>
        <v>0</v>
      </c>
      <c r="BO8" s="38"/>
      <c r="BP8" s="39">
        <f t="shared" si="29"/>
        <v>0</v>
      </c>
      <c r="BQ8" s="38"/>
      <c r="BR8" s="39">
        <f t="shared" si="30"/>
        <v>0</v>
      </c>
      <c r="BS8" s="38"/>
      <c r="BT8" s="39">
        <f t="shared" si="31"/>
        <v>0</v>
      </c>
      <c r="BU8" s="40"/>
      <c r="BV8" s="36"/>
      <c r="BW8" s="37">
        <f t="shared" si="32"/>
        <v>0</v>
      </c>
      <c r="BX8" s="38"/>
      <c r="BY8" s="39">
        <f t="shared" si="33"/>
        <v>0</v>
      </c>
      <c r="BZ8" s="38"/>
      <c r="CA8" s="39">
        <f t="shared" si="34"/>
        <v>0</v>
      </c>
      <c r="CB8" s="38"/>
      <c r="CC8" s="39">
        <f t="shared" si="35"/>
        <v>0</v>
      </c>
      <c r="CD8" s="38"/>
      <c r="CE8" s="39">
        <f t="shared" si="36"/>
        <v>0</v>
      </c>
      <c r="CF8" s="40"/>
      <c r="CG8" s="36"/>
      <c r="CH8" s="37">
        <f t="shared" si="37"/>
        <v>0</v>
      </c>
      <c r="CI8" s="38"/>
      <c r="CJ8" s="39">
        <f t="shared" si="38"/>
        <v>0</v>
      </c>
      <c r="CK8" s="38"/>
      <c r="CL8" s="39">
        <f t="shared" si="39"/>
        <v>0</v>
      </c>
      <c r="CM8" s="38"/>
      <c r="CN8" s="39">
        <f t="shared" si="40"/>
        <v>0</v>
      </c>
      <c r="CO8" s="38"/>
      <c r="CP8" s="39">
        <f t="shared" si="41"/>
        <v>0</v>
      </c>
      <c r="CQ8" s="41">
        <f t="shared" si="0"/>
        <v>0</v>
      </c>
      <c r="CR8" s="41">
        <f t="shared" si="1"/>
        <v>0</v>
      </c>
      <c r="CS8" s="41">
        <f t="shared" si="42"/>
        <v>0</v>
      </c>
      <c r="CT8" s="16">
        <f t="shared" si="43"/>
        <v>0</v>
      </c>
    </row>
    <row r="9" spans="1:98" x14ac:dyDescent="0.25">
      <c r="A9" s="1" t="s">
        <v>24</v>
      </c>
      <c r="C9" s="45"/>
      <c r="D9" s="53"/>
      <c r="E9" s="34"/>
      <c r="F9" s="34">
        <v>0</v>
      </c>
      <c r="G9" s="40"/>
      <c r="H9" s="36"/>
      <c r="I9" s="37">
        <f t="shared" si="2"/>
        <v>0</v>
      </c>
      <c r="J9" s="38"/>
      <c r="K9" s="39">
        <f t="shared" si="3"/>
        <v>0</v>
      </c>
      <c r="L9" s="38"/>
      <c r="M9" s="39">
        <f t="shared" si="4"/>
        <v>0</v>
      </c>
      <c r="N9" s="38"/>
      <c r="O9" s="39">
        <f t="shared" si="5"/>
        <v>0</v>
      </c>
      <c r="P9" s="38"/>
      <c r="Q9" s="39">
        <f t="shared" si="6"/>
        <v>0</v>
      </c>
      <c r="R9" s="40"/>
      <c r="S9" s="36"/>
      <c r="T9" s="37">
        <f t="shared" si="7"/>
        <v>0</v>
      </c>
      <c r="U9" s="38"/>
      <c r="V9" s="39">
        <f t="shared" si="8"/>
        <v>0</v>
      </c>
      <c r="W9" s="38"/>
      <c r="X9" s="39">
        <f t="shared" si="9"/>
        <v>0</v>
      </c>
      <c r="Y9" s="38"/>
      <c r="Z9" s="39">
        <f t="shared" si="10"/>
        <v>0</v>
      </c>
      <c r="AA9" s="38"/>
      <c r="AB9" s="39">
        <f t="shared" si="11"/>
        <v>0</v>
      </c>
      <c r="AC9" s="40"/>
      <c r="AD9" s="36"/>
      <c r="AE9" s="37">
        <f t="shared" si="12"/>
        <v>0</v>
      </c>
      <c r="AF9" s="38"/>
      <c r="AG9" s="39">
        <f t="shared" si="13"/>
        <v>0</v>
      </c>
      <c r="AH9" s="38"/>
      <c r="AI9" s="39">
        <f t="shared" si="14"/>
        <v>0</v>
      </c>
      <c r="AJ9" s="38"/>
      <c r="AK9" s="39">
        <f t="shared" si="15"/>
        <v>0</v>
      </c>
      <c r="AL9" s="38"/>
      <c r="AM9" s="39">
        <f t="shared" si="16"/>
        <v>0</v>
      </c>
      <c r="AN9" s="40"/>
      <c r="AO9" s="36"/>
      <c r="AP9" s="37">
        <f t="shared" si="17"/>
        <v>0</v>
      </c>
      <c r="AQ9" s="38"/>
      <c r="AR9" s="39">
        <f t="shared" si="18"/>
        <v>0</v>
      </c>
      <c r="AS9" s="38"/>
      <c r="AT9" s="39">
        <f t="shared" si="19"/>
        <v>0</v>
      </c>
      <c r="AU9" s="38"/>
      <c r="AV9" s="39">
        <f t="shared" si="20"/>
        <v>0</v>
      </c>
      <c r="AW9" s="38"/>
      <c r="AX9" s="39">
        <f t="shared" si="21"/>
        <v>0</v>
      </c>
      <c r="AY9" s="40"/>
      <c r="AZ9" s="36"/>
      <c r="BA9" s="37">
        <f t="shared" si="22"/>
        <v>0</v>
      </c>
      <c r="BB9" s="38"/>
      <c r="BC9" s="39">
        <f t="shared" si="23"/>
        <v>0</v>
      </c>
      <c r="BD9" s="38"/>
      <c r="BE9" s="39">
        <f t="shared" si="24"/>
        <v>0</v>
      </c>
      <c r="BF9" s="38"/>
      <c r="BG9" s="39">
        <f t="shared" si="25"/>
        <v>0</v>
      </c>
      <c r="BH9" s="38"/>
      <c r="BI9" s="39">
        <f t="shared" si="26"/>
        <v>0</v>
      </c>
      <c r="BJ9" s="40"/>
      <c r="BK9" s="36"/>
      <c r="BL9" s="37">
        <f t="shared" si="27"/>
        <v>0</v>
      </c>
      <c r="BM9" s="38"/>
      <c r="BN9" s="39">
        <f t="shared" si="28"/>
        <v>0</v>
      </c>
      <c r="BO9" s="38"/>
      <c r="BP9" s="39">
        <f t="shared" si="29"/>
        <v>0</v>
      </c>
      <c r="BQ9" s="38"/>
      <c r="BR9" s="39">
        <f t="shared" si="30"/>
        <v>0</v>
      </c>
      <c r="BS9" s="38"/>
      <c r="BT9" s="39">
        <f t="shared" si="31"/>
        <v>0</v>
      </c>
      <c r="BU9" s="40"/>
      <c r="BV9" s="36"/>
      <c r="BW9" s="37">
        <f t="shared" si="32"/>
        <v>0</v>
      </c>
      <c r="BX9" s="38"/>
      <c r="BY9" s="39">
        <f t="shared" si="33"/>
        <v>0</v>
      </c>
      <c r="BZ9" s="38"/>
      <c r="CA9" s="39">
        <f t="shared" si="34"/>
        <v>0</v>
      </c>
      <c r="CB9" s="38"/>
      <c r="CC9" s="39">
        <f t="shared" si="35"/>
        <v>0</v>
      </c>
      <c r="CD9" s="38"/>
      <c r="CE9" s="39">
        <f t="shared" si="36"/>
        <v>0</v>
      </c>
      <c r="CF9" s="40"/>
      <c r="CG9" s="36"/>
      <c r="CH9" s="37">
        <f t="shared" si="37"/>
        <v>0</v>
      </c>
      <c r="CI9" s="38"/>
      <c r="CJ9" s="39">
        <f t="shared" si="38"/>
        <v>0</v>
      </c>
      <c r="CK9" s="38"/>
      <c r="CL9" s="39">
        <f t="shared" si="39"/>
        <v>0</v>
      </c>
      <c r="CM9" s="38"/>
      <c r="CN9" s="39">
        <f t="shared" si="40"/>
        <v>0</v>
      </c>
      <c r="CO9" s="38"/>
      <c r="CP9" s="39">
        <f t="shared" si="41"/>
        <v>0</v>
      </c>
      <c r="CQ9" s="41">
        <f t="shared" si="0"/>
        <v>0</v>
      </c>
      <c r="CR9" s="41">
        <f t="shared" si="1"/>
        <v>0</v>
      </c>
      <c r="CS9" s="41">
        <f t="shared" si="42"/>
        <v>0</v>
      </c>
      <c r="CT9" s="16">
        <f t="shared" si="43"/>
        <v>0</v>
      </c>
    </row>
    <row r="10" spans="1:98" x14ac:dyDescent="0.25">
      <c r="A10" s="2"/>
      <c r="B10" s="2" t="s">
        <v>25</v>
      </c>
      <c r="C10" s="42" t="s">
        <v>21</v>
      </c>
      <c r="D10" s="53">
        <v>1</v>
      </c>
      <c r="E10" s="34">
        <v>200000</v>
      </c>
      <c r="F10" s="34">
        <v>200000</v>
      </c>
      <c r="G10" s="40"/>
      <c r="H10" s="36">
        <v>0.125</v>
      </c>
      <c r="I10" s="37">
        <f t="shared" si="2"/>
        <v>25000</v>
      </c>
      <c r="J10" s="38">
        <v>0.42</v>
      </c>
      <c r="K10" s="39">
        <f t="shared" si="3"/>
        <v>10500</v>
      </c>
      <c r="L10" s="38">
        <v>0.47</v>
      </c>
      <c r="M10" s="39">
        <f t="shared" si="4"/>
        <v>11750</v>
      </c>
      <c r="N10" s="38">
        <v>0.1</v>
      </c>
      <c r="O10" s="39">
        <f t="shared" si="5"/>
        <v>2500</v>
      </c>
      <c r="P10" s="38">
        <v>0.01</v>
      </c>
      <c r="Q10" s="39">
        <f t="shared" si="6"/>
        <v>250</v>
      </c>
      <c r="R10" s="40"/>
      <c r="S10" s="36">
        <v>0.125</v>
      </c>
      <c r="T10" s="37">
        <f t="shared" si="7"/>
        <v>25000</v>
      </c>
      <c r="U10" s="38">
        <v>0.42</v>
      </c>
      <c r="V10" s="39">
        <f t="shared" si="8"/>
        <v>10500</v>
      </c>
      <c r="W10" s="38">
        <v>0.47</v>
      </c>
      <c r="X10" s="39">
        <f t="shared" si="9"/>
        <v>11750</v>
      </c>
      <c r="Y10" s="38">
        <v>0.1</v>
      </c>
      <c r="Z10" s="39">
        <f t="shared" si="10"/>
        <v>2500</v>
      </c>
      <c r="AA10" s="38">
        <v>0.01</v>
      </c>
      <c r="AB10" s="39">
        <f t="shared" si="11"/>
        <v>250</v>
      </c>
      <c r="AC10" s="40"/>
      <c r="AD10" s="36">
        <v>0.125</v>
      </c>
      <c r="AE10" s="37">
        <f t="shared" si="12"/>
        <v>25000</v>
      </c>
      <c r="AF10" s="38">
        <v>0.42</v>
      </c>
      <c r="AG10" s="39">
        <f t="shared" si="13"/>
        <v>10500</v>
      </c>
      <c r="AH10" s="38">
        <v>0.47</v>
      </c>
      <c r="AI10" s="39">
        <f t="shared" si="14"/>
        <v>11750</v>
      </c>
      <c r="AJ10" s="38">
        <v>0.1</v>
      </c>
      <c r="AK10" s="39">
        <f t="shared" si="15"/>
        <v>2500</v>
      </c>
      <c r="AL10" s="38">
        <v>0.01</v>
      </c>
      <c r="AM10" s="39">
        <f t="shared" si="16"/>
        <v>250</v>
      </c>
      <c r="AN10" s="40"/>
      <c r="AO10" s="36">
        <v>0.125</v>
      </c>
      <c r="AP10" s="37">
        <f t="shared" si="17"/>
        <v>25000</v>
      </c>
      <c r="AQ10" s="38">
        <v>0.42</v>
      </c>
      <c r="AR10" s="39">
        <f t="shared" si="18"/>
        <v>10500</v>
      </c>
      <c r="AS10" s="38">
        <v>0.47</v>
      </c>
      <c r="AT10" s="39">
        <f t="shared" si="19"/>
        <v>11750</v>
      </c>
      <c r="AU10" s="38">
        <v>0.1</v>
      </c>
      <c r="AV10" s="39">
        <f t="shared" si="20"/>
        <v>2500</v>
      </c>
      <c r="AW10" s="38">
        <v>0.01</v>
      </c>
      <c r="AX10" s="39">
        <f t="shared" si="21"/>
        <v>250</v>
      </c>
      <c r="AY10" s="40"/>
      <c r="AZ10" s="36">
        <v>0.125</v>
      </c>
      <c r="BA10" s="37">
        <f t="shared" si="22"/>
        <v>25000</v>
      </c>
      <c r="BB10" s="38">
        <v>0.42</v>
      </c>
      <c r="BC10" s="39">
        <f t="shared" si="23"/>
        <v>10500</v>
      </c>
      <c r="BD10" s="38">
        <v>0.47</v>
      </c>
      <c r="BE10" s="39">
        <f t="shared" si="24"/>
        <v>11750</v>
      </c>
      <c r="BF10" s="38">
        <v>0.1</v>
      </c>
      <c r="BG10" s="39">
        <f t="shared" si="25"/>
        <v>2500</v>
      </c>
      <c r="BH10" s="38">
        <v>0.01</v>
      </c>
      <c r="BI10" s="39">
        <f t="shared" si="26"/>
        <v>250</v>
      </c>
      <c r="BJ10" s="40"/>
      <c r="BK10" s="36">
        <v>0.125</v>
      </c>
      <c r="BL10" s="37">
        <f t="shared" si="27"/>
        <v>25000</v>
      </c>
      <c r="BM10" s="38">
        <v>0.42</v>
      </c>
      <c r="BN10" s="39">
        <f t="shared" si="28"/>
        <v>10500</v>
      </c>
      <c r="BO10" s="38">
        <v>0.47</v>
      </c>
      <c r="BP10" s="39">
        <f t="shared" si="29"/>
        <v>11750</v>
      </c>
      <c r="BQ10" s="38">
        <v>0.1</v>
      </c>
      <c r="BR10" s="39">
        <f t="shared" si="30"/>
        <v>2500</v>
      </c>
      <c r="BS10" s="38">
        <v>0.01</v>
      </c>
      <c r="BT10" s="39">
        <f t="shared" si="31"/>
        <v>250</v>
      </c>
      <c r="BU10" s="40"/>
      <c r="BV10" s="36">
        <v>0.125</v>
      </c>
      <c r="BW10" s="37">
        <f t="shared" si="32"/>
        <v>25000</v>
      </c>
      <c r="BX10" s="38">
        <v>0.42</v>
      </c>
      <c r="BY10" s="39">
        <f t="shared" si="33"/>
        <v>10500</v>
      </c>
      <c r="BZ10" s="38">
        <v>0.47</v>
      </c>
      <c r="CA10" s="39">
        <f t="shared" si="34"/>
        <v>11750</v>
      </c>
      <c r="CB10" s="38">
        <v>0.1</v>
      </c>
      <c r="CC10" s="39">
        <f t="shared" si="35"/>
        <v>2500</v>
      </c>
      <c r="CD10" s="38">
        <v>0.01</v>
      </c>
      <c r="CE10" s="39">
        <f t="shared" si="36"/>
        <v>250</v>
      </c>
      <c r="CF10" s="40"/>
      <c r="CG10" s="36">
        <v>0.125</v>
      </c>
      <c r="CH10" s="37">
        <f t="shared" si="37"/>
        <v>25000</v>
      </c>
      <c r="CI10" s="38">
        <v>0.42</v>
      </c>
      <c r="CJ10" s="39">
        <f t="shared" si="38"/>
        <v>10500</v>
      </c>
      <c r="CK10" s="38">
        <v>0.47</v>
      </c>
      <c r="CL10" s="39">
        <f t="shared" si="39"/>
        <v>11750</v>
      </c>
      <c r="CM10" s="38">
        <v>0.1</v>
      </c>
      <c r="CN10" s="39">
        <f t="shared" si="40"/>
        <v>2500</v>
      </c>
      <c r="CO10" s="38">
        <v>0.01</v>
      </c>
      <c r="CP10" s="39">
        <f t="shared" si="41"/>
        <v>250</v>
      </c>
      <c r="CQ10" s="41">
        <f t="shared" si="0"/>
        <v>200000</v>
      </c>
      <c r="CR10" s="41">
        <f t="shared" si="1"/>
        <v>200000</v>
      </c>
      <c r="CS10" s="41">
        <f t="shared" si="42"/>
        <v>200000</v>
      </c>
      <c r="CT10" s="16">
        <f t="shared" si="43"/>
        <v>0</v>
      </c>
    </row>
    <row r="11" spans="1:98" x14ac:dyDescent="0.25">
      <c r="B11" s="46" t="s">
        <v>26</v>
      </c>
      <c r="C11" s="42" t="s">
        <v>27</v>
      </c>
      <c r="D11" s="53">
        <v>50000</v>
      </c>
      <c r="E11" s="47">
        <v>4.5</v>
      </c>
      <c r="F11" s="34">
        <v>225000</v>
      </c>
      <c r="G11" s="40"/>
      <c r="H11" s="36"/>
      <c r="I11" s="37">
        <f t="shared" si="2"/>
        <v>0</v>
      </c>
      <c r="J11" s="38"/>
      <c r="K11" s="39">
        <f t="shared" si="3"/>
        <v>0</v>
      </c>
      <c r="L11" s="38"/>
      <c r="M11" s="39">
        <f t="shared" si="4"/>
        <v>0</v>
      </c>
      <c r="N11" s="38"/>
      <c r="O11" s="39">
        <f t="shared" si="5"/>
        <v>0</v>
      </c>
      <c r="P11" s="38"/>
      <c r="Q11" s="39">
        <f t="shared" si="6"/>
        <v>0</v>
      </c>
      <c r="R11" s="40"/>
      <c r="S11" s="36">
        <v>1</v>
      </c>
      <c r="T11" s="37">
        <f t="shared" si="7"/>
        <v>225000</v>
      </c>
      <c r="U11" s="38">
        <v>0.42</v>
      </c>
      <c r="V11" s="39">
        <f t="shared" si="8"/>
        <v>94500</v>
      </c>
      <c r="W11" s="38">
        <v>0.47</v>
      </c>
      <c r="X11" s="39">
        <f t="shared" si="9"/>
        <v>105750</v>
      </c>
      <c r="Y11" s="38">
        <v>0.1</v>
      </c>
      <c r="Z11" s="39">
        <f t="shared" si="10"/>
        <v>22500</v>
      </c>
      <c r="AA11" s="38">
        <v>0.01</v>
      </c>
      <c r="AB11" s="39">
        <f t="shared" si="11"/>
        <v>2250</v>
      </c>
      <c r="AC11" s="40"/>
      <c r="AD11" s="36"/>
      <c r="AE11" s="37">
        <f t="shared" si="12"/>
        <v>0</v>
      </c>
      <c r="AF11" s="38"/>
      <c r="AG11" s="39">
        <f t="shared" si="13"/>
        <v>0</v>
      </c>
      <c r="AH11" s="38"/>
      <c r="AI11" s="39">
        <f t="shared" si="14"/>
        <v>0</v>
      </c>
      <c r="AJ11" s="38"/>
      <c r="AK11" s="39">
        <f t="shared" si="15"/>
        <v>0</v>
      </c>
      <c r="AL11" s="38"/>
      <c r="AM11" s="39">
        <f t="shared" si="16"/>
        <v>0</v>
      </c>
      <c r="AN11" s="40"/>
      <c r="AO11" s="36"/>
      <c r="AP11" s="37">
        <f t="shared" si="17"/>
        <v>0</v>
      </c>
      <c r="AQ11" s="38"/>
      <c r="AR11" s="39">
        <f t="shared" si="18"/>
        <v>0</v>
      </c>
      <c r="AS11" s="38"/>
      <c r="AT11" s="39">
        <f t="shared" si="19"/>
        <v>0</v>
      </c>
      <c r="AU11" s="38"/>
      <c r="AV11" s="39">
        <f t="shared" si="20"/>
        <v>0</v>
      </c>
      <c r="AW11" s="38"/>
      <c r="AX11" s="39">
        <f t="shared" si="21"/>
        <v>0</v>
      </c>
      <c r="AY11" s="40"/>
      <c r="AZ11" s="36"/>
      <c r="BA11" s="37">
        <f t="shared" si="22"/>
        <v>0</v>
      </c>
      <c r="BB11" s="38"/>
      <c r="BC11" s="39">
        <f t="shared" si="23"/>
        <v>0</v>
      </c>
      <c r="BD11" s="38"/>
      <c r="BE11" s="39">
        <f t="shared" si="24"/>
        <v>0</v>
      </c>
      <c r="BF11" s="38"/>
      <c r="BG11" s="39">
        <f t="shared" si="25"/>
        <v>0</v>
      </c>
      <c r="BH11" s="38"/>
      <c r="BI11" s="39">
        <f t="shared" si="26"/>
        <v>0</v>
      </c>
      <c r="BJ11" s="40"/>
      <c r="BK11" s="36"/>
      <c r="BL11" s="37">
        <f t="shared" si="27"/>
        <v>0</v>
      </c>
      <c r="BM11" s="38"/>
      <c r="BN11" s="39">
        <f t="shared" si="28"/>
        <v>0</v>
      </c>
      <c r="BO11" s="38"/>
      <c r="BP11" s="39">
        <f t="shared" si="29"/>
        <v>0</v>
      </c>
      <c r="BQ11" s="38"/>
      <c r="BR11" s="39">
        <f t="shared" si="30"/>
        <v>0</v>
      </c>
      <c r="BS11" s="38"/>
      <c r="BT11" s="39">
        <f t="shared" si="31"/>
        <v>0</v>
      </c>
      <c r="BU11" s="40"/>
      <c r="BV11" s="36"/>
      <c r="BW11" s="37">
        <f t="shared" si="32"/>
        <v>0</v>
      </c>
      <c r="BX11" s="38"/>
      <c r="BY11" s="39">
        <f t="shared" si="33"/>
        <v>0</v>
      </c>
      <c r="BZ11" s="38"/>
      <c r="CA11" s="39">
        <f t="shared" si="34"/>
        <v>0</v>
      </c>
      <c r="CB11" s="38"/>
      <c r="CC11" s="39">
        <f t="shared" si="35"/>
        <v>0</v>
      </c>
      <c r="CD11" s="38"/>
      <c r="CE11" s="39">
        <f t="shared" si="36"/>
        <v>0</v>
      </c>
      <c r="CF11" s="40"/>
      <c r="CG11" s="36"/>
      <c r="CH11" s="37">
        <f t="shared" si="37"/>
        <v>0</v>
      </c>
      <c r="CI11" s="38"/>
      <c r="CJ11" s="39">
        <f t="shared" si="38"/>
        <v>0</v>
      </c>
      <c r="CK11" s="38"/>
      <c r="CL11" s="39">
        <f t="shared" si="39"/>
        <v>0</v>
      </c>
      <c r="CM11" s="38"/>
      <c r="CN11" s="39">
        <f t="shared" si="40"/>
        <v>0</v>
      </c>
      <c r="CO11" s="38"/>
      <c r="CP11" s="39">
        <f t="shared" si="41"/>
        <v>0</v>
      </c>
      <c r="CQ11" s="41">
        <f t="shared" si="0"/>
        <v>225000</v>
      </c>
      <c r="CR11" s="41">
        <f t="shared" si="1"/>
        <v>225000</v>
      </c>
      <c r="CS11" s="41">
        <f t="shared" si="42"/>
        <v>225000</v>
      </c>
      <c r="CT11" s="16">
        <f t="shared" si="43"/>
        <v>0</v>
      </c>
    </row>
    <row r="12" spans="1:98" x14ac:dyDescent="0.25">
      <c r="B12" s="46" t="s">
        <v>28</v>
      </c>
      <c r="C12" s="42" t="s">
        <v>21</v>
      </c>
      <c r="D12" s="53">
        <v>1</v>
      </c>
      <c r="E12" s="34">
        <v>100000</v>
      </c>
      <c r="F12" s="34">
        <v>100000</v>
      </c>
      <c r="G12" s="40"/>
      <c r="H12" s="36">
        <v>0.125</v>
      </c>
      <c r="I12" s="37">
        <f t="shared" si="2"/>
        <v>12500</v>
      </c>
      <c r="J12" s="38">
        <v>0.42</v>
      </c>
      <c r="K12" s="39">
        <f t="shared" si="3"/>
        <v>5250</v>
      </c>
      <c r="L12" s="38">
        <v>0.47</v>
      </c>
      <c r="M12" s="39">
        <f t="shared" si="4"/>
        <v>5875</v>
      </c>
      <c r="N12" s="38">
        <v>0.1</v>
      </c>
      <c r="O12" s="39">
        <f t="shared" si="5"/>
        <v>1250</v>
      </c>
      <c r="P12" s="38">
        <v>0.01</v>
      </c>
      <c r="Q12" s="39">
        <f t="shared" si="6"/>
        <v>125</v>
      </c>
      <c r="R12" s="40"/>
      <c r="S12" s="36">
        <v>0.125</v>
      </c>
      <c r="T12" s="37">
        <f t="shared" si="7"/>
        <v>12500</v>
      </c>
      <c r="U12" s="38">
        <v>0.42</v>
      </c>
      <c r="V12" s="39">
        <f t="shared" si="8"/>
        <v>5250</v>
      </c>
      <c r="W12" s="38">
        <v>0.47</v>
      </c>
      <c r="X12" s="39">
        <f t="shared" si="9"/>
        <v>5875</v>
      </c>
      <c r="Y12" s="38">
        <v>0.1</v>
      </c>
      <c r="Z12" s="39">
        <f t="shared" si="10"/>
        <v>1250</v>
      </c>
      <c r="AA12" s="38">
        <v>0.01</v>
      </c>
      <c r="AB12" s="39">
        <f t="shared" si="11"/>
        <v>125</v>
      </c>
      <c r="AC12" s="40"/>
      <c r="AD12" s="36">
        <v>0.125</v>
      </c>
      <c r="AE12" s="37">
        <f t="shared" si="12"/>
        <v>12500</v>
      </c>
      <c r="AF12" s="38">
        <v>0.42</v>
      </c>
      <c r="AG12" s="39">
        <f t="shared" si="13"/>
        <v>5250</v>
      </c>
      <c r="AH12" s="38">
        <v>0.47</v>
      </c>
      <c r="AI12" s="39">
        <f t="shared" si="14"/>
        <v>5875</v>
      </c>
      <c r="AJ12" s="38">
        <v>0.1</v>
      </c>
      <c r="AK12" s="39">
        <f t="shared" si="15"/>
        <v>1250</v>
      </c>
      <c r="AL12" s="38">
        <v>0.01</v>
      </c>
      <c r="AM12" s="39">
        <f t="shared" si="16"/>
        <v>125</v>
      </c>
      <c r="AN12" s="40"/>
      <c r="AO12" s="36">
        <v>0.125</v>
      </c>
      <c r="AP12" s="37">
        <f t="shared" si="17"/>
        <v>12500</v>
      </c>
      <c r="AQ12" s="38">
        <v>0.42</v>
      </c>
      <c r="AR12" s="39">
        <f t="shared" si="18"/>
        <v>5250</v>
      </c>
      <c r="AS12" s="38">
        <v>0.47</v>
      </c>
      <c r="AT12" s="39">
        <f t="shared" si="19"/>
        <v>5875</v>
      </c>
      <c r="AU12" s="38">
        <v>0.1</v>
      </c>
      <c r="AV12" s="39">
        <f t="shared" si="20"/>
        <v>1250</v>
      </c>
      <c r="AW12" s="38">
        <v>0.01</v>
      </c>
      <c r="AX12" s="39">
        <f t="shared" si="21"/>
        <v>125</v>
      </c>
      <c r="AY12" s="40"/>
      <c r="AZ12" s="36">
        <v>0.125</v>
      </c>
      <c r="BA12" s="37">
        <f t="shared" si="22"/>
        <v>12500</v>
      </c>
      <c r="BB12" s="38">
        <v>0.42</v>
      </c>
      <c r="BC12" s="39">
        <f t="shared" si="23"/>
        <v>5250</v>
      </c>
      <c r="BD12" s="38">
        <v>0.47</v>
      </c>
      <c r="BE12" s="39">
        <f t="shared" si="24"/>
        <v>5875</v>
      </c>
      <c r="BF12" s="38">
        <v>0.1</v>
      </c>
      <c r="BG12" s="39">
        <f t="shared" si="25"/>
        <v>1250</v>
      </c>
      <c r="BH12" s="38">
        <v>0.01</v>
      </c>
      <c r="BI12" s="39">
        <f t="shared" si="26"/>
        <v>125</v>
      </c>
      <c r="BJ12" s="40"/>
      <c r="BK12" s="36">
        <v>0.125</v>
      </c>
      <c r="BL12" s="37">
        <f t="shared" si="27"/>
        <v>12500</v>
      </c>
      <c r="BM12" s="38">
        <v>0.42</v>
      </c>
      <c r="BN12" s="39">
        <f t="shared" si="28"/>
        <v>5250</v>
      </c>
      <c r="BO12" s="38">
        <v>0.47</v>
      </c>
      <c r="BP12" s="39">
        <f t="shared" si="29"/>
        <v>5875</v>
      </c>
      <c r="BQ12" s="38">
        <v>0.1</v>
      </c>
      <c r="BR12" s="39">
        <f t="shared" si="30"/>
        <v>1250</v>
      </c>
      <c r="BS12" s="38">
        <v>0.01</v>
      </c>
      <c r="BT12" s="39">
        <f t="shared" si="31"/>
        <v>125</v>
      </c>
      <c r="BU12" s="40"/>
      <c r="BV12" s="36">
        <v>0.125</v>
      </c>
      <c r="BW12" s="37">
        <f t="shared" si="32"/>
        <v>12500</v>
      </c>
      <c r="BX12" s="38">
        <v>0.42</v>
      </c>
      <c r="BY12" s="39">
        <f t="shared" si="33"/>
        <v>5250</v>
      </c>
      <c r="BZ12" s="38">
        <v>0.47</v>
      </c>
      <c r="CA12" s="39">
        <f t="shared" si="34"/>
        <v>5875</v>
      </c>
      <c r="CB12" s="38">
        <v>0.1</v>
      </c>
      <c r="CC12" s="39">
        <f t="shared" si="35"/>
        <v>1250</v>
      </c>
      <c r="CD12" s="38">
        <v>0.01</v>
      </c>
      <c r="CE12" s="39">
        <f t="shared" si="36"/>
        <v>125</v>
      </c>
      <c r="CF12" s="40"/>
      <c r="CG12" s="36">
        <v>0.125</v>
      </c>
      <c r="CH12" s="37">
        <f t="shared" si="37"/>
        <v>12500</v>
      </c>
      <c r="CI12" s="38">
        <v>0.42</v>
      </c>
      <c r="CJ12" s="39">
        <f t="shared" si="38"/>
        <v>5250</v>
      </c>
      <c r="CK12" s="38">
        <v>0.47</v>
      </c>
      <c r="CL12" s="39">
        <f t="shared" si="39"/>
        <v>5875</v>
      </c>
      <c r="CM12" s="38">
        <v>0.1</v>
      </c>
      <c r="CN12" s="39">
        <f t="shared" si="40"/>
        <v>1250</v>
      </c>
      <c r="CO12" s="38">
        <v>0.01</v>
      </c>
      <c r="CP12" s="39">
        <f t="shared" si="41"/>
        <v>125</v>
      </c>
      <c r="CQ12" s="41">
        <f t="shared" si="0"/>
        <v>100000</v>
      </c>
      <c r="CR12" s="41">
        <f t="shared" si="1"/>
        <v>100000</v>
      </c>
      <c r="CS12" s="41">
        <f t="shared" si="42"/>
        <v>100000</v>
      </c>
      <c r="CT12" s="16">
        <f t="shared" si="43"/>
        <v>0</v>
      </c>
    </row>
    <row r="13" spans="1:98" x14ac:dyDescent="0.25">
      <c r="B13" s="48" t="s">
        <v>29</v>
      </c>
      <c r="C13" s="42" t="s">
        <v>21</v>
      </c>
      <c r="D13" s="53">
        <v>1</v>
      </c>
      <c r="E13" s="34">
        <v>150000</v>
      </c>
      <c r="F13" s="34">
        <v>150000</v>
      </c>
      <c r="G13" s="40"/>
      <c r="H13" s="36"/>
      <c r="I13" s="37">
        <f t="shared" si="2"/>
        <v>0</v>
      </c>
      <c r="J13" s="38"/>
      <c r="K13" s="39">
        <f t="shared" si="3"/>
        <v>0</v>
      </c>
      <c r="L13" s="38"/>
      <c r="M13" s="39">
        <f t="shared" si="4"/>
        <v>0</v>
      </c>
      <c r="N13" s="38"/>
      <c r="O13" s="39">
        <f t="shared" si="5"/>
        <v>0</v>
      </c>
      <c r="P13" s="38"/>
      <c r="Q13" s="39">
        <f t="shared" si="6"/>
        <v>0</v>
      </c>
      <c r="R13" s="40"/>
      <c r="S13" s="36"/>
      <c r="T13" s="37">
        <f t="shared" si="7"/>
        <v>0</v>
      </c>
      <c r="U13" s="38"/>
      <c r="V13" s="39">
        <f t="shared" si="8"/>
        <v>0</v>
      </c>
      <c r="W13" s="38"/>
      <c r="X13" s="39">
        <f t="shared" si="9"/>
        <v>0</v>
      </c>
      <c r="Y13" s="38"/>
      <c r="Z13" s="39">
        <f t="shared" si="10"/>
        <v>0</v>
      </c>
      <c r="AA13" s="38"/>
      <c r="AB13" s="39">
        <f t="shared" si="11"/>
        <v>0</v>
      </c>
      <c r="AC13" s="40"/>
      <c r="AD13" s="36"/>
      <c r="AE13" s="37">
        <f t="shared" si="12"/>
        <v>0</v>
      </c>
      <c r="AF13" s="38"/>
      <c r="AG13" s="39">
        <f t="shared" si="13"/>
        <v>0</v>
      </c>
      <c r="AH13" s="38"/>
      <c r="AI13" s="39">
        <f t="shared" si="14"/>
        <v>0</v>
      </c>
      <c r="AJ13" s="38"/>
      <c r="AK13" s="39">
        <f t="shared" si="15"/>
        <v>0</v>
      </c>
      <c r="AL13" s="38"/>
      <c r="AM13" s="39">
        <f t="shared" si="16"/>
        <v>0</v>
      </c>
      <c r="AN13" s="40"/>
      <c r="AO13" s="36">
        <v>0.05</v>
      </c>
      <c r="AP13" s="37">
        <f t="shared" si="17"/>
        <v>7500</v>
      </c>
      <c r="AQ13" s="38">
        <v>0.42</v>
      </c>
      <c r="AR13" s="39">
        <f t="shared" si="18"/>
        <v>3150</v>
      </c>
      <c r="AS13" s="38">
        <v>0.47</v>
      </c>
      <c r="AT13" s="39">
        <f t="shared" si="19"/>
        <v>3525</v>
      </c>
      <c r="AU13" s="38">
        <v>0.1</v>
      </c>
      <c r="AV13" s="39">
        <f t="shared" si="20"/>
        <v>750</v>
      </c>
      <c r="AW13" s="38">
        <v>0.01</v>
      </c>
      <c r="AX13" s="39">
        <f t="shared" si="21"/>
        <v>75</v>
      </c>
      <c r="AY13" s="40"/>
      <c r="AZ13" s="36">
        <v>0.95</v>
      </c>
      <c r="BA13" s="37">
        <f t="shared" si="22"/>
        <v>142500</v>
      </c>
      <c r="BB13" s="38">
        <v>0.42</v>
      </c>
      <c r="BC13" s="39">
        <f t="shared" si="23"/>
        <v>59850</v>
      </c>
      <c r="BD13" s="38">
        <v>0.47</v>
      </c>
      <c r="BE13" s="39">
        <f t="shared" si="24"/>
        <v>66975</v>
      </c>
      <c r="BF13" s="38">
        <v>0.1</v>
      </c>
      <c r="BG13" s="39">
        <f t="shared" si="25"/>
        <v>14250</v>
      </c>
      <c r="BH13" s="38">
        <v>0.01</v>
      </c>
      <c r="BI13" s="39">
        <f t="shared" si="26"/>
        <v>1425</v>
      </c>
      <c r="BJ13" s="40"/>
      <c r="BK13" s="36"/>
      <c r="BL13" s="37">
        <f t="shared" si="27"/>
        <v>0</v>
      </c>
      <c r="BM13" s="38"/>
      <c r="BN13" s="39">
        <f t="shared" si="28"/>
        <v>0</v>
      </c>
      <c r="BO13" s="38"/>
      <c r="BP13" s="39">
        <f t="shared" si="29"/>
        <v>0</v>
      </c>
      <c r="BQ13" s="38"/>
      <c r="BR13" s="39">
        <f t="shared" si="30"/>
        <v>0</v>
      </c>
      <c r="BS13" s="38"/>
      <c r="BT13" s="39">
        <f t="shared" si="31"/>
        <v>0</v>
      </c>
      <c r="BU13" s="40"/>
      <c r="BV13" s="36"/>
      <c r="BW13" s="37">
        <f t="shared" si="32"/>
        <v>0</v>
      </c>
      <c r="BX13" s="38"/>
      <c r="BY13" s="39">
        <f t="shared" si="33"/>
        <v>0</v>
      </c>
      <c r="BZ13" s="38"/>
      <c r="CA13" s="39">
        <f t="shared" si="34"/>
        <v>0</v>
      </c>
      <c r="CB13" s="38"/>
      <c r="CC13" s="39">
        <f t="shared" si="35"/>
        <v>0</v>
      </c>
      <c r="CD13" s="38"/>
      <c r="CE13" s="39">
        <f t="shared" si="36"/>
        <v>0</v>
      </c>
      <c r="CF13" s="40"/>
      <c r="CG13" s="36"/>
      <c r="CH13" s="37">
        <f t="shared" si="37"/>
        <v>0</v>
      </c>
      <c r="CI13" s="38"/>
      <c r="CJ13" s="39">
        <f t="shared" si="38"/>
        <v>0</v>
      </c>
      <c r="CK13" s="38"/>
      <c r="CL13" s="39">
        <f t="shared" si="39"/>
        <v>0</v>
      </c>
      <c r="CM13" s="38"/>
      <c r="CN13" s="39">
        <f t="shared" si="40"/>
        <v>0</v>
      </c>
      <c r="CO13" s="38"/>
      <c r="CP13" s="39">
        <f t="shared" si="41"/>
        <v>0</v>
      </c>
      <c r="CQ13" s="41">
        <f t="shared" si="0"/>
        <v>150000</v>
      </c>
      <c r="CR13" s="41">
        <f t="shared" si="1"/>
        <v>150000</v>
      </c>
      <c r="CS13" s="41">
        <f t="shared" si="42"/>
        <v>150000</v>
      </c>
      <c r="CT13" s="16">
        <f t="shared" si="43"/>
        <v>0</v>
      </c>
    </row>
    <row r="14" spans="1:98" x14ac:dyDescent="0.25">
      <c r="B14" s="46" t="s">
        <v>30</v>
      </c>
      <c r="C14" s="42" t="s">
        <v>21</v>
      </c>
      <c r="D14" s="53">
        <v>1</v>
      </c>
      <c r="E14" s="34">
        <v>150000</v>
      </c>
      <c r="F14" s="34">
        <v>150000</v>
      </c>
      <c r="G14" s="40"/>
      <c r="H14" s="36"/>
      <c r="I14" s="37">
        <f t="shared" si="2"/>
        <v>0</v>
      </c>
      <c r="J14" s="38"/>
      <c r="K14" s="39">
        <f t="shared" si="3"/>
        <v>0</v>
      </c>
      <c r="L14" s="38"/>
      <c r="M14" s="39">
        <f t="shared" si="4"/>
        <v>0</v>
      </c>
      <c r="N14" s="38"/>
      <c r="O14" s="39">
        <f t="shared" si="5"/>
        <v>0</v>
      </c>
      <c r="P14" s="38"/>
      <c r="Q14" s="39">
        <f t="shared" si="6"/>
        <v>0</v>
      </c>
      <c r="R14" s="40"/>
      <c r="S14" s="36"/>
      <c r="T14" s="37">
        <f t="shared" si="7"/>
        <v>0</v>
      </c>
      <c r="U14" s="38"/>
      <c r="V14" s="39">
        <f t="shared" si="8"/>
        <v>0</v>
      </c>
      <c r="W14" s="38"/>
      <c r="X14" s="39">
        <f t="shared" si="9"/>
        <v>0</v>
      </c>
      <c r="Y14" s="38"/>
      <c r="Z14" s="39">
        <f t="shared" si="10"/>
        <v>0</v>
      </c>
      <c r="AA14" s="38"/>
      <c r="AB14" s="39">
        <f t="shared" si="11"/>
        <v>0</v>
      </c>
      <c r="AC14" s="40"/>
      <c r="AD14" s="36"/>
      <c r="AE14" s="37">
        <f t="shared" si="12"/>
        <v>0</v>
      </c>
      <c r="AF14" s="38"/>
      <c r="AG14" s="39">
        <f t="shared" si="13"/>
        <v>0</v>
      </c>
      <c r="AH14" s="38"/>
      <c r="AI14" s="39">
        <f t="shared" si="14"/>
        <v>0</v>
      </c>
      <c r="AJ14" s="38"/>
      <c r="AK14" s="39">
        <f t="shared" si="15"/>
        <v>0</v>
      </c>
      <c r="AL14" s="38"/>
      <c r="AM14" s="39">
        <f t="shared" si="16"/>
        <v>0</v>
      </c>
      <c r="AN14" s="40"/>
      <c r="AO14" s="36"/>
      <c r="AP14" s="37">
        <f t="shared" si="17"/>
        <v>0</v>
      </c>
      <c r="AQ14" s="38"/>
      <c r="AR14" s="39">
        <f t="shared" si="18"/>
        <v>0</v>
      </c>
      <c r="AS14" s="38"/>
      <c r="AT14" s="39">
        <f t="shared" si="19"/>
        <v>0</v>
      </c>
      <c r="AU14" s="38"/>
      <c r="AV14" s="39">
        <f t="shared" si="20"/>
        <v>0</v>
      </c>
      <c r="AW14" s="38"/>
      <c r="AX14" s="39">
        <f t="shared" si="21"/>
        <v>0</v>
      </c>
      <c r="AY14" s="40"/>
      <c r="AZ14" s="36"/>
      <c r="BA14" s="37">
        <f t="shared" si="22"/>
        <v>0</v>
      </c>
      <c r="BB14" s="38"/>
      <c r="BC14" s="39">
        <f t="shared" si="23"/>
        <v>0</v>
      </c>
      <c r="BD14" s="38"/>
      <c r="BE14" s="39">
        <f t="shared" si="24"/>
        <v>0</v>
      </c>
      <c r="BF14" s="38"/>
      <c r="BG14" s="39">
        <f t="shared" si="25"/>
        <v>0</v>
      </c>
      <c r="BH14" s="38"/>
      <c r="BI14" s="39">
        <f t="shared" si="26"/>
        <v>0</v>
      </c>
      <c r="BJ14" s="40"/>
      <c r="BK14" s="36">
        <v>1</v>
      </c>
      <c r="BL14" s="37">
        <f t="shared" si="27"/>
        <v>150000</v>
      </c>
      <c r="BM14" s="38">
        <v>0.42</v>
      </c>
      <c r="BN14" s="39">
        <f t="shared" si="28"/>
        <v>63000</v>
      </c>
      <c r="BO14" s="38">
        <v>0.47</v>
      </c>
      <c r="BP14" s="39">
        <f t="shared" si="29"/>
        <v>70500</v>
      </c>
      <c r="BQ14" s="38">
        <v>0.1</v>
      </c>
      <c r="BR14" s="39">
        <f t="shared" si="30"/>
        <v>15000</v>
      </c>
      <c r="BS14" s="38">
        <v>0.01</v>
      </c>
      <c r="BT14" s="39">
        <f t="shared" si="31"/>
        <v>1500</v>
      </c>
      <c r="BU14" s="40"/>
      <c r="BV14" s="36"/>
      <c r="BW14" s="37">
        <f t="shared" si="32"/>
        <v>0</v>
      </c>
      <c r="BX14" s="38"/>
      <c r="BY14" s="39">
        <f t="shared" si="33"/>
        <v>0</v>
      </c>
      <c r="BZ14" s="38"/>
      <c r="CA14" s="39">
        <f t="shared" si="34"/>
        <v>0</v>
      </c>
      <c r="CB14" s="38"/>
      <c r="CC14" s="39">
        <f t="shared" si="35"/>
        <v>0</v>
      </c>
      <c r="CD14" s="38"/>
      <c r="CE14" s="39">
        <f t="shared" si="36"/>
        <v>0</v>
      </c>
      <c r="CF14" s="40"/>
      <c r="CG14" s="36"/>
      <c r="CH14" s="37">
        <f t="shared" si="37"/>
        <v>0</v>
      </c>
      <c r="CI14" s="38"/>
      <c r="CJ14" s="39">
        <f t="shared" si="38"/>
        <v>0</v>
      </c>
      <c r="CK14" s="38"/>
      <c r="CL14" s="39">
        <f t="shared" si="39"/>
        <v>0</v>
      </c>
      <c r="CM14" s="38"/>
      <c r="CN14" s="39">
        <f t="shared" si="40"/>
        <v>0</v>
      </c>
      <c r="CO14" s="38"/>
      <c r="CP14" s="39">
        <f t="shared" si="41"/>
        <v>0</v>
      </c>
      <c r="CQ14" s="41">
        <f t="shared" si="0"/>
        <v>150000</v>
      </c>
      <c r="CR14" s="41">
        <f t="shared" si="1"/>
        <v>150000</v>
      </c>
      <c r="CS14" s="41">
        <f t="shared" si="42"/>
        <v>150000</v>
      </c>
      <c r="CT14" s="16">
        <f t="shared" si="43"/>
        <v>0</v>
      </c>
    </row>
    <row r="15" spans="1:98" x14ac:dyDescent="0.25">
      <c r="A15" s="2"/>
      <c r="B15" s="2" t="s">
        <v>31</v>
      </c>
      <c r="C15" s="42" t="s">
        <v>27</v>
      </c>
      <c r="D15" s="53">
        <v>2500000</v>
      </c>
      <c r="E15" s="49">
        <v>0.25</v>
      </c>
      <c r="F15" s="34">
        <v>625000</v>
      </c>
      <c r="G15" s="40"/>
      <c r="H15" s="36"/>
      <c r="I15" s="37">
        <f t="shared" si="2"/>
        <v>0</v>
      </c>
      <c r="J15" s="38"/>
      <c r="K15" s="39">
        <f t="shared" si="3"/>
        <v>0</v>
      </c>
      <c r="L15" s="38"/>
      <c r="M15" s="39">
        <f t="shared" si="4"/>
        <v>0</v>
      </c>
      <c r="N15" s="38"/>
      <c r="O15" s="39">
        <f t="shared" si="5"/>
        <v>0</v>
      </c>
      <c r="P15" s="38"/>
      <c r="Q15" s="39">
        <f t="shared" si="6"/>
        <v>0</v>
      </c>
      <c r="R15" s="40"/>
      <c r="S15" s="36">
        <v>1</v>
      </c>
      <c r="T15" s="37">
        <f t="shared" si="7"/>
        <v>625000</v>
      </c>
      <c r="U15" s="38">
        <v>0.42</v>
      </c>
      <c r="V15" s="39">
        <f t="shared" si="8"/>
        <v>262500</v>
      </c>
      <c r="W15" s="38">
        <v>0.47</v>
      </c>
      <c r="X15" s="39">
        <f t="shared" si="9"/>
        <v>293750</v>
      </c>
      <c r="Y15" s="38">
        <v>0.1</v>
      </c>
      <c r="Z15" s="39">
        <f t="shared" si="10"/>
        <v>62500</v>
      </c>
      <c r="AA15" s="38">
        <v>0.01</v>
      </c>
      <c r="AB15" s="39">
        <f t="shared" si="11"/>
        <v>6250</v>
      </c>
      <c r="AC15" s="40"/>
      <c r="AD15" s="36"/>
      <c r="AE15" s="37">
        <f t="shared" si="12"/>
        <v>0</v>
      </c>
      <c r="AF15" s="38"/>
      <c r="AG15" s="39">
        <f t="shared" si="13"/>
        <v>0</v>
      </c>
      <c r="AH15" s="38"/>
      <c r="AI15" s="39">
        <f t="shared" si="14"/>
        <v>0</v>
      </c>
      <c r="AJ15" s="38"/>
      <c r="AK15" s="39">
        <f t="shared" si="15"/>
        <v>0</v>
      </c>
      <c r="AL15" s="38"/>
      <c r="AM15" s="39">
        <f t="shared" si="16"/>
        <v>0</v>
      </c>
      <c r="AN15" s="40"/>
      <c r="AO15" s="36"/>
      <c r="AP15" s="37">
        <f t="shared" si="17"/>
        <v>0</v>
      </c>
      <c r="AQ15" s="38"/>
      <c r="AR15" s="39">
        <f t="shared" si="18"/>
        <v>0</v>
      </c>
      <c r="AS15" s="38"/>
      <c r="AT15" s="39">
        <f t="shared" si="19"/>
        <v>0</v>
      </c>
      <c r="AU15" s="38"/>
      <c r="AV15" s="39">
        <f t="shared" si="20"/>
        <v>0</v>
      </c>
      <c r="AW15" s="38"/>
      <c r="AX15" s="39">
        <f t="shared" si="21"/>
        <v>0</v>
      </c>
      <c r="AY15" s="40"/>
      <c r="AZ15" s="36"/>
      <c r="BA15" s="37">
        <f t="shared" si="22"/>
        <v>0</v>
      </c>
      <c r="BB15" s="38"/>
      <c r="BC15" s="39">
        <f t="shared" si="23"/>
        <v>0</v>
      </c>
      <c r="BD15" s="38"/>
      <c r="BE15" s="39">
        <f t="shared" si="24"/>
        <v>0</v>
      </c>
      <c r="BF15" s="38"/>
      <c r="BG15" s="39">
        <f t="shared" si="25"/>
        <v>0</v>
      </c>
      <c r="BH15" s="38"/>
      <c r="BI15" s="39">
        <f t="shared" si="26"/>
        <v>0</v>
      </c>
      <c r="BJ15" s="40"/>
      <c r="BK15" s="36"/>
      <c r="BL15" s="37">
        <f t="shared" si="27"/>
        <v>0</v>
      </c>
      <c r="BM15" s="38"/>
      <c r="BN15" s="39">
        <f t="shared" si="28"/>
        <v>0</v>
      </c>
      <c r="BO15" s="38"/>
      <c r="BP15" s="39">
        <f t="shared" si="29"/>
        <v>0</v>
      </c>
      <c r="BQ15" s="38"/>
      <c r="BR15" s="39">
        <f t="shared" si="30"/>
        <v>0</v>
      </c>
      <c r="BS15" s="38"/>
      <c r="BT15" s="39">
        <f t="shared" si="31"/>
        <v>0</v>
      </c>
      <c r="BU15" s="40"/>
      <c r="BV15" s="36"/>
      <c r="BW15" s="37">
        <f t="shared" si="32"/>
        <v>0</v>
      </c>
      <c r="BX15" s="38"/>
      <c r="BY15" s="39">
        <f t="shared" si="33"/>
        <v>0</v>
      </c>
      <c r="BZ15" s="38"/>
      <c r="CA15" s="39">
        <f t="shared" si="34"/>
        <v>0</v>
      </c>
      <c r="CB15" s="38"/>
      <c r="CC15" s="39">
        <f t="shared" si="35"/>
        <v>0</v>
      </c>
      <c r="CD15" s="38"/>
      <c r="CE15" s="39">
        <f t="shared" si="36"/>
        <v>0</v>
      </c>
      <c r="CF15" s="40"/>
      <c r="CG15" s="36"/>
      <c r="CH15" s="37">
        <f t="shared" si="37"/>
        <v>0</v>
      </c>
      <c r="CI15" s="38"/>
      <c r="CJ15" s="39">
        <f t="shared" si="38"/>
        <v>0</v>
      </c>
      <c r="CK15" s="38"/>
      <c r="CL15" s="39">
        <f t="shared" si="39"/>
        <v>0</v>
      </c>
      <c r="CM15" s="38"/>
      <c r="CN15" s="39">
        <f t="shared" si="40"/>
        <v>0</v>
      </c>
      <c r="CO15" s="38"/>
      <c r="CP15" s="39">
        <f t="shared" si="41"/>
        <v>0</v>
      </c>
      <c r="CQ15" s="41">
        <f t="shared" si="0"/>
        <v>625000</v>
      </c>
      <c r="CR15" s="41">
        <f t="shared" si="1"/>
        <v>625000</v>
      </c>
      <c r="CS15" s="41">
        <f t="shared" si="42"/>
        <v>625000</v>
      </c>
      <c r="CT15" s="16">
        <f t="shared" si="43"/>
        <v>0</v>
      </c>
    </row>
    <row r="16" spans="1:98" x14ac:dyDescent="0.25">
      <c r="B16" s="44"/>
      <c r="C16" s="42"/>
      <c r="D16" s="53"/>
      <c r="E16" s="50"/>
      <c r="F16" s="34">
        <v>0</v>
      </c>
      <c r="G16" s="40"/>
      <c r="H16" s="36"/>
      <c r="I16" s="37">
        <f t="shared" si="2"/>
        <v>0</v>
      </c>
      <c r="J16" s="38"/>
      <c r="K16" s="39">
        <f t="shared" si="3"/>
        <v>0</v>
      </c>
      <c r="L16" s="38"/>
      <c r="M16" s="39">
        <f t="shared" si="4"/>
        <v>0</v>
      </c>
      <c r="N16" s="38"/>
      <c r="O16" s="39">
        <f t="shared" si="5"/>
        <v>0</v>
      </c>
      <c r="P16" s="38"/>
      <c r="Q16" s="39">
        <f t="shared" si="6"/>
        <v>0</v>
      </c>
      <c r="R16" s="40"/>
      <c r="S16" s="36"/>
      <c r="T16" s="37">
        <f t="shared" si="7"/>
        <v>0</v>
      </c>
      <c r="U16" s="38"/>
      <c r="V16" s="39">
        <f t="shared" si="8"/>
        <v>0</v>
      </c>
      <c r="W16" s="38"/>
      <c r="X16" s="39">
        <f t="shared" si="9"/>
        <v>0</v>
      </c>
      <c r="Y16" s="38"/>
      <c r="Z16" s="39">
        <f t="shared" si="10"/>
        <v>0</v>
      </c>
      <c r="AA16" s="38"/>
      <c r="AB16" s="39">
        <f t="shared" si="11"/>
        <v>0</v>
      </c>
      <c r="AC16" s="40"/>
      <c r="AD16" s="36"/>
      <c r="AE16" s="37">
        <f t="shared" si="12"/>
        <v>0</v>
      </c>
      <c r="AF16" s="38"/>
      <c r="AG16" s="39">
        <f t="shared" si="13"/>
        <v>0</v>
      </c>
      <c r="AH16" s="38"/>
      <c r="AI16" s="39">
        <f t="shared" si="14"/>
        <v>0</v>
      </c>
      <c r="AJ16" s="38"/>
      <c r="AK16" s="39">
        <f t="shared" si="15"/>
        <v>0</v>
      </c>
      <c r="AL16" s="38"/>
      <c r="AM16" s="39">
        <f t="shared" si="16"/>
        <v>0</v>
      </c>
      <c r="AN16" s="40"/>
      <c r="AO16" s="36"/>
      <c r="AP16" s="37">
        <f t="shared" si="17"/>
        <v>0</v>
      </c>
      <c r="AQ16" s="38"/>
      <c r="AR16" s="39">
        <f t="shared" si="18"/>
        <v>0</v>
      </c>
      <c r="AS16" s="38"/>
      <c r="AT16" s="39">
        <f t="shared" si="19"/>
        <v>0</v>
      </c>
      <c r="AU16" s="38"/>
      <c r="AV16" s="39">
        <f t="shared" si="20"/>
        <v>0</v>
      </c>
      <c r="AW16" s="38"/>
      <c r="AX16" s="39">
        <f t="shared" si="21"/>
        <v>0</v>
      </c>
      <c r="AY16" s="40"/>
      <c r="AZ16" s="36"/>
      <c r="BA16" s="37">
        <f t="shared" si="22"/>
        <v>0</v>
      </c>
      <c r="BB16" s="38"/>
      <c r="BC16" s="39">
        <f t="shared" si="23"/>
        <v>0</v>
      </c>
      <c r="BD16" s="38"/>
      <c r="BE16" s="39">
        <f t="shared" si="24"/>
        <v>0</v>
      </c>
      <c r="BF16" s="38"/>
      <c r="BG16" s="39">
        <f t="shared" si="25"/>
        <v>0</v>
      </c>
      <c r="BH16" s="38"/>
      <c r="BI16" s="39">
        <f t="shared" si="26"/>
        <v>0</v>
      </c>
      <c r="BJ16" s="40"/>
      <c r="BK16" s="36"/>
      <c r="BL16" s="37">
        <f t="shared" si="27"/>
        <v>0</v>
      </c>
      <c r="BM16" s="38"/>
      <c r="BN16" s="39">
        <f t="shared" si="28"/>
        <v>0</v>
      </c>
      <c r="BO16" s="38"/>
      <c r="BP16" s="39">
        <f t="shared" si="29"/>
        <v>0</v>
      </c>
      <c r="BQ16" s="38"/>
      <c r="BR16" s="39">
        <f t="shared" si="30"/>
        <v>0</v>
      </c>
      <c r="BS16" s="38"/>
      <c r="BT16" s="39">
        <f t="shared" si="31"/>
        <v>0</v>
      </c>
      <c r="BU16" s="40"/>
      <c r="BV16" s="36"/>
      <c r="BW16" s="37">
        <f t="shared" si="32"/>
        <v>0</v>
      </c>
      <c r="BX16" s="38"/>
      <c r="BY16" s="39">
        <f t="shared" si="33"/>
        <v>0</v>
      </c>
      <c r="BZ16" s="38"/>
      <c r="CA16" s="39">
        <f t="shared" si="34"/>
        <v>0</v>
      </c>
      <c r="CB16" s="38"/>
      <c r="CC16" s="39">
        <f t="shared" si="35"/>
        <v>0</v>
      </c>
      <c r="CD16" s="38"/>
      <c r="CE16" s="39">
        <f t="shared" si="36"/>
        <v>0</v>
      </c>
      <c r="CF16" s="40"/>
      <c r="CG16" s="36"/>
      <c r="CH16" s="37">
        <f t="shared" si="37"/>
        <v>0</v>
      </c>
      <c r="CI16" s="38"/>
      <c r="CJ16" s="39">
        <f t="shared" si="38"/>
        <v>0</v>
      </c>
      <c r="CK16" s="38"/>
      <c r="CL16" s="39">
        <f t="shared" si="39"/>
        <v>0</v>
      </c>
      <c r="CM16" s="38"/>
      <c r="CN16" s="39">
        <f t="shared" si="40"/>
        <v>0</v>
      </c>
      <c r="CO16" s="38"/>
      <c r="CP16" s="39">
        <f t="shared" si="41"/>
        <v>0</v>
      </c>
      <c r="CQ16" s="41">
        <f t="shared" si="0"/>
        <v>0</v>
      </c>
      <c r="CR16" s="41">
        <f t="shared" si="1"/>
        <v>0</v>
      </c>
      <c r="CS16" s="41">
        <f t="shared" si="42"/>
        <v>0</v>
      </c>
      <c r="CT16" s="16">
        <f t="shared" si="43"/>
        <v>0</v>
      </c>
    </row>
    <row r="17" spans="1:98" x14ac:dyDescent="0.25">
      <c r="A17" s="1" t="s">
        <v>191</v>
      </c>
      <c r="C17" s="42"/>
      <c r="D17" s="53"/>
      <c r="E17" s="34"/>
      <c r="F17" s="34">
        <v>0</v>
      </c>
      <c r="G17" s="40"/>
      <c r="H17" s="36"/>
      <c r="I17" s="37">
        <f t="shared" si="2"/>
        <v>0</v>
      </c>
      <c r="J17" s="38"/>
      <c r="K17" s="39">
        <f t="shared" si="3"/>
        <v>0</v>
      </c>
      <c r="L17" s="38"/>
      <c r="M17" s="39">
        <f t="shared" si="4"/>
        <v>0</v>
      </c>
      <c r="N17" s="38"/>
      <c r="O17" s="39">
        <f t="shared" si="5"/>
        <v>0</v>
      </c>
      <c r="P17" s="38"/>
      <c r="Q17" s="39">
        <f t="shared" si="6"/>
        <v>0</v>
      </c>
      <c r="R17" s="40"/>
      <c r="S17" s="36"/>
      <c r="T17" s="37">
        <f t="shared" si="7"/>
        <v>0</v>
      </c>
      <c r="U17" s="38"/>
      <c r="V17" s="39">
        <f t="shared" si="8"/>
        <v>0</v>
      </c>
      <c r="W17" s="38"/>
      <c r="X17" s="39">
        <f t="shared" si="9"/>
        <v>0</v>
      </c>
      <c r="Y17" s="38"/>
      <c r="Z17" s="39">
        <f t="shared" si="10"/>
        <v>0</v>
      </c>
      <c r="AA17" s="38"/>
      <c r="AB17" s="39">
        <f t="shared" si="11"/>
        <v>0</v>
      </c>
      <c r="AC17" s="40"/>
      <c r="AD17" s="36"/>
      <c r="AE17" s="37">
        <f t="shared" si="12"/>
        <v>0</v>
      </c>
      <c r="AF17" s="38"/>
      <c r="AG17" s="39">
        <f t="shared" si="13"/>
        <v>0</v>
      </c>
      <c r="AH17" s="38"/>
      <c r="AI17" s="39">
        <f t="shared" si="14"/>
        <v>0</v>
      </c>
      <c r="AJ17" s="38"/>
      <c r="AK17" s="39">
        <f t="shared" si="15"/>
        <v>0</v>
      </c>
      <c r="AL17" s="38"/>
      <c r="AM17" s="39">
        <f t="shared" si="16"/>
        <v>0</v>
      </c>
      <c r="AN17" s="40"/>
      <c r="AO17" s="36"/>
      <c r="AP17" s="37">
        <f t="shared" si="17"/>
        <v>0</v>
      </c>
      <c r="AQ17" s="38"/>
      <c r="AR17" s="39">
        <f t="shared" si="18"/>
        <v>0</v>
      </c>
      <c r="AS17" s="38"/>
      <c r="AT17" s="39">
        <f t="shared" si="19"/>
        <v>0</v>
      </c>
      <c r="AU17" s="38"/>
      <c r="AV17" s="39">
        <f t="shared" si="20"/>
        <v>0</v>
      </c>
      <c r="AW17" s="38"/>
      <c r="AX17" s="39">
        <f t="shared" si="21"/>
        <v>0</v>
      </c>
      <c r="AY17" s="40"/>
      <c r="AZ17" s="36"/>
      <c r="BA17" s="37">
        <f t="shared" si="22"/>
        <v>0</v>
      </c>
      <c r="BB17" s="38"/>
      <c r="BC17" s="39">
        <f t="shared" si="23"/>
        <v>0</v>
      </c>
      <c r="BD17" s="38"/>
      <c r="BE17" s="39">
        <f t="shared" si="24"/>
        <v>0</v>
      </c>
      <c r="BF17" s="38"/>
      <c r="BG17" s="39">
        <f t="shared" si="25"/>
        <v>0</v>
      </c>
      <c r="BH17" s="38"/>
      <c r="BI17" s="39">
        <f t="shared" si="26"/>
        <v>0</v>
      </c>
      <c r="BJ17" s="40"/>
      <c r="BK17" s="36"/>
      <c r="BL17" s="37">
        <f t="shared" si="27"/>
        <v>0</v>
      </c>
      <c r="BM17" s="38"/>
      <c r="BN17" s="39">
        <f t="shared" si="28"/>
        <v>0</v>
      </c>
      <c r="BO17" s="38"/>
      <c r="BP17" s="39">
        <f t="shared" si="29"/>
        <v>0</v>
      </c>
      <c r="BQ17" s="38"/>
      <c r="BR17" s="39">
        <f t="shared" si="30"/>
        <v>0</v>
      </c>
      <c r="BS17" s="38"/>
      <c r="BT17" s="39">
        <f t="shared" si="31"/>
        <v>0</v>
      </c>
      <c r="BU17" s="40"/>
      <c r="BV17" s="36"/>
      <c r="BW17" s="37">
        <f t="shared" si="32"/>
        <v>0</v>
      </c>
      <c r="BX17" s="38"/>
      <c r="BY17" s="39">
        <f t="shared" si="33"/>
        <v>0</v>
      </c>
      <c r="BZ17" s="38"/>
      <c r="CA17" s="39">
        <f t="shared" si="34"/>
        <v>0</v>
      </c>
      <c r="CB17" s="38"/>
      <c r="CC17" s="39">
        <f t="shared" si="35"/>
        <v>0</v>
      </c>
      <c r="CD17" s="38"/>
      <c r="CE17" s="39">
        <f t="shared" si="36"/>
        <v>0</v>
      </c>
      <c r="CF17" s="40"/>
      <c r="CG17" s="36"/>
      <c r="CH17" s="37">
        <f t="shared" si="37"/>
        <v>0</v>
      </c>
      <c r="CI17" s="38"/>
      <c r="CJ17" s="39">
        <f t="shared" si="38"/>
        <v>0</v>
      </c>
      <c r="CK17" s="38"/>
      <c r="CL17" s="39">
        <f t="shared" si="39"/>
        <v>0</v>
      </c>
      <c r="CM17" s="38"/>
      <c r="CN17" s="39">
        <f t="shared" si="40"/>
        <v>0</v>
      </c>
      <c r="CO17" s="38"/>
      <c r="CP17" s="39">
        <f t="shared" si="41"/>
        <v>0</v>
      </c>
      <c r="CQ17" s="41">
        <f t="shared" si="0"/>
        <v>0</v>
      </c>
      <c r="CR17" s="41">
        <f t="shared" si="1"/>
        <v>0</v>
      </c>
      <c r="CS17" s="41">
        <f t="shared" si="42"/>
        <v>0</v>
      </c>
      <c r="CT17" s="16">
        <f t="shared" si="43"/>
        <v>0</v>
      </c>
    </row>
    <row r="18" spans="1:98" x14ac:dyDescent="0.25">
      <c r="B18" s="46" t="s">
        <v>32</v>
      </c>
      <c r="C18" s="42" t="s">
        <v>33</v>
      </c>
      <c r="D18" s="53">
        <v>12682.4</v>
      </c>
      <c r="E18" s="34">
        <v>240</v>
      </c>
      <c r="F18" s="34">
        <v>3043776</v>
      </c>
      <c r="G18" s="40"/>
      <c r="H18" s="36"/>
      <c r="I18" s="37">
        <f t="shared" si="2"/>
        <v>0</v>
      </c>
      <c r="J18" s="38"/>
      <c r="K18" s="39">
        <f t="shared" si="3"/>
        <v>0</v>
      </c>
      <c r="L18" s="38"/>
      <c r="M18" s="39">
        <f t="shared" si="4"/>
        <v>0</v>
      </c>
      <c r="N18" s="38"/>
      <c r="O18" s="39">
        <f t="shared" si="5"/>
        <v>0</v>
      </c>
      <c r="P18" s="38"/>
      <c r="Q18" s="39">
        <f t="shared" si="6"/>
        <v>0</v>
      </c>
      <c r="R18" s="40"/>
      <c r="S18" s="36"/>
      <c r="T18" s="37">
        <f t="shared" si="7"/>
        <v>0</v>
      </c>
      <c r="U18" s="38"/>
      <c r="V18" s="39">
        <f t="shared" si="8"/>
        <v>0</v>
      </c>
      <c r="W18" s="38"/>
      <c r="X18" s="39">
        <f t="shared" si="9"/>
        <v>0</v>
      </c>
      <c r="Y18" s="38"/>
      <c r="Z18" s="39">
        <f t="shared" si="10"/>
        <v>0</v>
      </c>
      <c r="AA18" s="38"/>
      <c r="AB18" s="39">
        <f t="shared" si="11"/>
        <v>0</v>
      </c>
      <c r="AC18" s="40"/>
      <c r="AD18" s="36">
        <v>0.6</v>
      </c>
      <c r="AE18" s="37">
        <f t="shared" si="12"/>
        <v>1826265.5999999999</v>
      </c>
      <c r="AF18" s="38">
        <v>1</v>
      </c>
      <c r="AG18" s="39">
        <f t="shared" si="13"/>
        <v>1826265.5999999999</v>
      </c>
      <c r="AH18" s="38"/>
      <c r="AI18" s="39">
        <f t="shared" si="14"/>
        <v>0</v>
      </c>
      <c r="AJ18" s="38"/>
      <c r="AK18" s="39">
        <f t="shared" si="15"/>
        <v>0</v>
      </c>
      <c r="AL18" s="38"/>
      <c r="AM18" s="39">
        <f t="shared" si="16"/>
        <v>0</v>
      </c>
      <c r="AN18" s="40"/>
      <c r="AO18" s="36">
        <v>0.2</v>
      </c>
      <c r="AP18" s="37">
        <f t="shared" si="17"/>
        <v>608755.20000000007</v>
      </c>
      <c r="AQ18" s="38">
        <v>1</v>
      </c>
      <c r="AR18" s="39">
        <f t="shared" si="18"/>
        <v>608755.20000000007</v>
      </c>
      <c r="AS18" s="38"/>
      <c r="AT18" s="39">
        <f t="shared" si="19"/>
        <v>0</v>
      </c>
      <c r="AU18" s="38"/>
      <c r="AV18" s="39">
        <f t="shared" si="20"/>
        <v>0</v>
      </c>
      <c r="AW18" s="38"/>
      <c r="AX18" s="39">
        <f t="shared" si="21"/>
        <v>0</v>
      </c>
      <c r="AY18" s="40"/>
      <c r="AZ18" s="36">
        <v>0.15</v>
      </c>
      <c r="BA18" s="37">
        <f t="shared" si="22"/>
        <v>456566.39999999997</v>
      </c>
      <c r="BB18" s="38">
        <v>1</v>
      </c>
      <c r="BC18" s="39">
        <f t="shared" si="23"/>
        <v>456566.39999999997</v>
      </c>
      <c r="BD18" s="38"/>
      <c r="BE18" s="39">
        <f t="shared" si="24"/>
        <v>0</v>
      </c>
      <c r="BF18" s="38"/>
      <c r="BG18" s="39">
        <f t="shared" si="25"/>
        <v>0</v>
      </c>
      <c r="BH18" s="38"/>
      <c r="BI18" s="39">
        <f t="shared" si="26"/>
        <v>0</v>
      </c>
      <c r="BJ18" s="40"/>
      <c r="BK18" s="36">
        <v>0.05</v>
      </c>
      <c r="BL18" s="37">
        <f t="shared" si="27"/>
        <v>152188.80000000002</v>
      </c>
      <c r="BM18" s="38">
        <v>1</v>
      </c>
      <c r="BN18" s="39">
        <f t="shared" si="28"/>
        <v>152188.80000000002</v>
      </c>
      <c r="BO18" s="38"/>
      <c r="BP18" s="39">
        <f t="shared" si="29"/>
        <v>0</v>
      </c>
      <c r="BQ18" s="38"/>
      <c r="BR18" s="39">
        <f t="shared" si="30"/>
        <v>0</v>
      </c>
      <c r="BS18" s="38"/>
      <c r="BT18" s="39">
        <f t="shared" si="31"/>
        <v>0</v>
      </c>
      <c r="BU18" s="40"/>
      <c r="BV18" s="36"/>
      <c r="BW18" s="37">
        <f t="shared" si="32"/>
        <v>0</v>
      </c>
      <c r="BX18" s="38"/>
      <c r="BY18" s="39">
        <f t="shared" si="33"/>
        <v>0</v>
      </c>
      <c r="BZ18" s="38"/>
      <c r="CA18" s="39">
        <f t="shared" si="34"/>
        <v>0</v>
      </c>
      <c r="CB18" s="38"/>
      <c r="CC18" s="39">
        <f t="shared" si="35"/>
        <v>0</v>
      </c>
      <c r="CD18" s="38"/>
      <c r="CE18" s="39">
        <f t="shared" si="36"/>
        <v>0</v>
      </c>
      <c r="CF18" s="40"/>
      <c r="CG18" s="36"/>
      <c r="CH18" s="37">
        <f t="shared" si="37"/>
        <v>0</v>
      </c>
      <c r="CI18" s="38"/>
      <c r="CJ18" s="39">
        <f t="shared" si="38"/>
        <v>0</v>
      </c>
      <c r="CK18" s="38"/>
      <c r="CL18" s="39">
        <f t="shared" si="39"/>
        <v>0</v>
      </c>
      <c r="CM18" s="38"/>
      <c r="CN18" s="39">
        <f t="shared" si="40"/>
        <v>0</v>
      </c>
      <c r="CO18" s="38"/>
      <c r="CP18" s="39">
        <f t="shared" si="41"/>
        <v>0</v>
      </c>
      <c r="CQ18" s="41">
        <f t="shared" si="0"/>
        <v>3043776</v>
      </c>
      <c r="CR18" s="41">
        <f t="shared" si="1"/>
        <v>3043775.9999999995</v>
      </c>
      <c r="CS18" s="41">
        <f t="shared" si="42"/>
        <v>3043776</v>
      </c>
      <c r="CT18" s="16">
        <f t="shared" si="43"/>
        <v>0</v>
      </c>
    </row>
    <row r="19" spans="1:98" x14ac:dyDescent="0.25">
      <c r="B19" s="46" t="s">
        <v>34</v>
      </c>
      <c r="C19" s="42" t="s">
        <v>33</v>
      </c>
      <c r="D19" s="53">
        <v>12682.4</v>
      </c>
      <c r="E19" s="34">
        <v>-180.52631578947367</v>
      </c>
      <c r="F19" s="34">
        <v>-2289506.9473684207</v>
      </c>
      <c r="G19" s="40"/>
      <c r="H19" s="36"/>
      <c r="I19" s="37">
        <f t="shared" si="2"/>
        <v>0</v>
      </c>
      <c r="J19" s="38"/>
      <c r="K19" s="39">
        <f t="shared" si="3"/>
        <v>0</v>
      </c>
      <c r="L19" s="38"/>
      <c r="M19" s="39">
        <f t="shared" si="4"/>
        <v>0</v>
      </c>
      <c r="N19" s="38"/>
      <c r="O19" s="39">
        <f t="shared" si="5"/>
        <v>0</v>
      </c>
      <c r="P19" s="38"/>
      <c r="Q19" s="39">
        <f t="shared" si="6"/>
        <v>0</v>
      </c>
      <c r="R19" s="40"/>
      <c r="S19" s="36"/>
      <c r="T19" s="37">
        <f t="shared" si="7"/>
        <v>0</v>
      </c>
      <c r="U19" s="38"/>
      <c r="V19" s="39">
        <f t="shared" si="8"/>
        <v>0</v>
      </c>
      <c r="W19" s="38"/>
      <c r="X19" s="39">
        <f t="shared" si="9"/>
        <v>0</v>
      </c>
      <c r="Y19" s="38"/>
      <c r="Z19" s="39">
        <f t="shared" si="10"/>
        <v>0</v>
      </c>
      <c r="AA19" s="38"/>
      <c r="AB19" s="39">
        <f t="shared" si="11"/>
        <v>0</v>
      </c>
      <c r="AC19" s="40"/>
      <c r="AD19" s="36">
        <v>0.6</v>
      </c>
      <c r="AE19" s="37">
        <f t="shared" si="12"/>
        <v>-1373704.1684210524</v>
      </c>
      <c r="AF19" s="38">
        <v>1</v>
      </c>
      <c r="AG19" s="39">
        <f t="shared" si="13"/>
        <v>-1373704.1684210524</v>
      </c>
      <c r="AH19" s="38"/>
      <c r="AI19" s="39">
        <f t="shared" si="14"/>
        <v>0</v>
      </c>
      <c r="AJ19" s="38"/>
      <c r="AK19" s="39">
        <f t="shared" si="15"/>
        <v>0</v>
      </c>
      <c r="AL19" s="38"/>
      <c r="AM19" s="39">
        <f t="shared" si="16"/>
        <v>0</v>
      </c>
      <c r="AN19" s="40"/>
      <c r="AO19" s="36">
        <v>0.25</v>
      </c>
      <c r="AP19" s="37">
        <f t="shared" si="17"/>
        <v>-572376.73684210517</v>
      </c>
      <c r="AQ19" s="38">
        <v>1</v>
      </c>
      <c r="AR19" s="39">
        <f t="shared" si="18"/>
        <v>-572376.73684210517</v>
      </c>
      <c r="AS19" s="38"/>
      <c r="AT19" s="39">
        <f t="shared" si="19"/>
        <v>0</v>
      </c>
      <c r="AU19" s="38"/>
      <c r="AV19" s="39">
        <f t="shared" si="20"/>
        <v>0</v>
      </c>
      <c r="AW19" s="38"/>
      <c r="AX19" s="39">
        <f t="shared" si="21"/>
        <v>0</v>
      </c>
      <c r="AY19" s="40"/>
      <c r="AZ19" s="36">
        <v>0.15</v>
      </c>
      <c r="BA19" s="37">
        <f t="shared" si="22"/>
        <v>-343426.0421052631</v>
      </c>
      <c r="BB19" s="38">
        <v>1</v>
      </c>
      <c r="BC19" s="39">
        <f t="shared" si="23"/>
        <v>-343426.0421052631</v>
      </c>
      <c r="BD19" s="38"/>
      <c r="BE19" s="39">
        <f t="shared" si="24"/>
        <v>0</v>
      </c>
      <c r="BF19" s="38"/>
      <c r="BG19" s="39">
        <f t="shared" si="25"/>
        <v>0</v>
      </c>
      <c r="BH19" s="38"/>
      <c r="BI19" s="39">
        <f t="shared" si="26"/>
        <v>0</v>
      </c>
      <c r="BJ19" s="40"/>
      <c r="BK19" s="36"/>
      <c r="BL19" s="37">
        <f t="shared" si="27"/>
        <v>0</v>
      </c>
      <c r="BM19" s="38"/>
      <c r="BN19" s="39">
        <f t="shared" si="28"/>
        <v>0</v>
      </c>
      <c r="BO19" s="38"/>
      <c r="BP19" s="39">
        <f t="shared" si="29"/>
        <v>0</v>
      </c>
      <c r="BQ19" s="38"/>
      <c r="BR19" s="39">
        <f t="shared" si="30"/>
        <v>0</v>
      </c>
      <c r="BS19" s="38"/>
      <c r="BT19" s="39">
        <f t="shared" si="31"/>
        <v>0</v>
      </c>
      <c r="BU19" s="40"/>
      <c r="BV19" s="36"/>
      <c r="BW19" s="37">
        <f t="shared" si="32"/>
        <v>0</v>
      </c>
      <c r="BX19" s="38"/>
      <c r="BY19" s="39">
        <f t="shared" si="33"/>
        <v>0</v>
      </c>
      <c r="BZ19" s="38"/>
      <c r="CA19" s="39">
        <f t="shared" si="34"/>
        <v>0</v>
      </c>
      <c r="CB19" s="38"/>
      <c r="CC19" s="39">
        <f t="shared" si="35"/>
        <v>0</v>
      </c>
      <c r="CD19" s="38"/>
      <c r="CE19" s="39">
        <f t="shared" si="36"/>
        <v>0</v>
      </c>
      <c r="CF19" s="40"/>
      <c r="CG19" s="36"/>
      <c r="CH19" s="37">
        <f t="shared" si="37"/>
        <v>0</v>
      </c>
      <c r="CI19" s="38"/>
      <c r="CJ19" s="39">
        <f t="shared" si="38"/>
        <v>0</v>
      </c>
      <c r="CK19" s="38"/>
      <c r="CL19" s="39">
        <f t="shared" si="39"/>
        <v>0</v>
      </c>
      <c r="CM19" s="38"/>
      <c r="CN19" s="39">
        <f t="shared" si="40"/>
        <v>0</v>
      </c>
      <c r="CO19" s="38"/>
      <c r="CP19" s="39">
        <f t="shared" si="41"/>
        <v>0</v>
      </c>
      <c r="CQ19" s="41">
        <f t="shared" si="0"/>
        <v>-2289506.9473684207</v>
      </c>
      <c r="CR19" s="41">
        <f t="shared" si="1"/>
        <v>-2289506.9473684207</v>
      </c>
      <c r="CS19" s="41">
        <f t="shared" si="42"/>
        <v>-2289506.9473684207</v>
      </c>
      <c r="CT19" s="16">
        <f t="shared" si="43"/>
        <v>0</v>
      </c>
    </row>
    <row r="20" spans="1:98" x14ac:dyDescent="0.25">
      <c r="B20" s="46" t="s">
        <v>35</v>
      </c>
      <c r="C20" s="42" t="s">
        <v>36</v>
      </c>
      <c r="D20" s="53">
        <v>114141.59999999999</v>
      </c>
      <c r="E20" s="47">
        <v>-0.39039473684210513</v>
      </c>
      <c r="F20" s="34">
        <v>-44560.279894736821</v>
      </c>
      <c r="G20" s="40"/>
      <c r="H20" s="36"/>
      <c r="I20" s="37">
        <f t="shared" si="2"/>
        <v>0</v>
      </c>
      <c r="J20" s="38"/>
      <c r="K20" s="39">
        <f t="shared" si="3"/>
        <v>0</v>
      </c>
      <c r="L20" s="38"/>
      <c r="M20" s="39">
        <f t="shared" si="4"/>
        <v>0</v>
      </c>
      <c r="N20" s="38"/>
      <c r="O20" s="39">
        <f t="shared" si="5"/>
        <v>0</v>
      </c>
      <c r="P20" s="38"/>
      <c r="Q20" s="39">
        <f t="shared" si="6"/>
        <v>0</v>
      </c>
      <c r="R20" s="40"/>
      <c r="S20" s="36"/>
      <c r="T20" s="37">
        <f t="shared" si="7"/>
        <v>0</v>
      </c>
      <c r="U20" s="38"/>
      <c r="V20" s="39">
        <f t="shared" si="8"/>
        <v>0</v>
      </c>
      <c r="W20" s="38"/>
      <c r="X20" s="39">
        <f t="shared" si="9"/>
        <v>0</v>
      </c>
      <c r="Y20" s="38"/>
      <c r="Z20" s="39">
        <f t="shared" si="10"/>
        <v>0</v>
      </c>
      <c r="AA20" s="38"/>
      <c r="AB20" s="39">
        <f t="shared" si="11"/>
        <v>0</v>
      </c>
      <c r="AC20" s="40"/>
      <c r="AD20" s="36"/>
      <c r="AE20" s="37">
        <f t="shared" si="12"/>
        <v>0</v>
      </c>
      <c r="AF20" s="38"/>
      <c r="AG20" s="39">
        <f t="shared" si="13"/>
        <v>0</v>
      </c>
      <c r="AH20" s="38"/>
      <c r="AI20" s="39">
        <f t="shared" si="14"/>
        <v>0</v>
      </c>
      <c r="AJ20" s="38"/>
      <c r="AK20" s="39">
        <f t="shared" si="15"/>
        <v>0</v>
      </c>
      <c r="AL20" s="38"/>
      <c r="AM20" s="39">
        <f t="shared" si="16"/>
        <v>0</v>
      </c>
      <c r="AN20" s="40"/>
      <c r="AO20" s="36">
        <v>1</v>
      </c>
      <c r="AP20" s="37">
        <f t="shared" si="17"/>
        <v>-44560.279894736821</v>
      </c>
      <c r="AQ20" s="38">
        <v>1</v>
      </c>
      <c r="AR20" s="39">
        <f t="shared" si="18"/>
        <v>-44560.279894736821</v>
      </c>
      <c r="AS20" s="38"/>
      <c r="AT20" s="39">
        <f t="shared" si="19"/>
        <v>0</v>
      </c>
      <c r="AU20" s="38"/>
      <c r="AV20" s="39">
        <f t="shared" si="20"/>
        <v>0</v>
      </c>
      <c r="AW20" s="38"/>
      <c r="AX20" s="39">
        <f t="shared" si="21"/>
        <v>0</v>
      </c>
      <c r="AY20" s="40"/>
      <c r="AZ20" s="36"/>
      <c r="BA20" s="37">
        <f t="shared" si="22"/>
        <v>0</v>
      </c>
      <c r="BB20" s="38"/>
      <c r="BC20" s="39">
        <f t="shared" si="23"/>
        <v>0</v>
      </c>
      <c r="BD20" s="38"/>
      <c r="BE20" s="39">
        <f t="shared" si="24"/>
        <v>0</v>
      </c>
      <c r="BF20" s="38"/>
      <c r="BG20" s="39">
        <f t="shared" si="25"/>
        <v>0</v>
      </c>
      <c r="BH20" s="38"/>
      <c r="BI20" s="39">
        <f t="shared" si="26"/>
        <v>0</v>
      </c>
      <c r="BJ20" s="40"/>
      <c r="BK20" s="36"/>
      <c r="BL20" s="37">
        <f t="shared" si="27"/>
        <v>0</v>
      </c>
      <c r="BM20" s="38"/>
      <c r="BN20" s="39">
        <f t="shared" si="28"/>
        <v>0</v>
      </c>
      <c r="BO20" s="38"/>
      <c r="BP20" s="39">
        <f t="shared" si="29"/>
        <v>0</v>
      </c>
      <c r="BQ20" s="38"/>
      <c r="BR20" s="39">
        <f t="shared" si="30"/>
        <v>0</v>
      </c>
      <c r="BS20" s="38"/>
      <c r="BT20" s="39">
        <f t="shared" si="31"/>
        <v>0</v>
      </c>
      <c r="BU20" s="40"/>
      <c r="BV20" s="36"/>
      <c r="BW20" s="37">
        <f t="shared" si="32"/>
        <v>0</v>
      </c>
      <c r="BX20" s="38"/>
      <c r="BY20" s="39">
        <f t="shared" si="33"/>
        <v>0</v>
      </c>
      <c r="BZ20" s="38"/>
      <c r="CA20" s="39">
        <f t="shared" si="34"/>
        <v>0</v>
      </c>
      <c r="CB20" s="38"/>
      <c r="CC20" s="39">
        <f t="shared" si="35"/>
        <v>0</v>
      </c>
      <c r="CD20" s="38"/>
      <c r="CE20" s="39">
        <f t="shared" si="36"/>
        <v>0</v>
      </c>
      <c r="CF20" s="40"/>
      <c r="CG20" s="36"/>
      <c r="CH20" s="37">
        <f t="shared" si="37"/>
        <v>0</v>
      </c>
      <c r="CI20" s="38"/>
      <c r="CJ20" s="39">
        <f t="shared" si="38"/>
        <v>0</v>
      </c>
      <c r="CK20" s="38"/>
      <c r="CL20" s="39">
        <f t="shared" si="39"/>
        <v>0</v>
      </c>
      <c r="CM20" s="38"/>
      <c r="CN20" s="39">
        <f t="shared" si="40"/>
        <v>0</v>
      </c>
      <c r="CO20" s="38"/>
      <c r="CP20" s="39">
        <f t="shared" si="41"/>
        <v>0</v>
      </c>
      <c r="CQ20" s="41">
        <f t="shared" si="0"/>
        <v>-44560.279894736821</v>
      </c>
      <c r="CR20" s="41">
        <f t="shared" si="1"/>
        <v>-44560.279894736821</v>
      </c>
      <c r="CS20" s="41">
        <f t="shared" si="42"/>
        <v>-44560.279894736821</v>
      </c>
      <c r="CT20" s="16">
        <f t="shared" si="43"/>
        <v>0</v>
      </c>
    </row>
    <row r="21" spans="1:98" x14ac:dyDescent="0.25">
      <c r="B21" s="46" t="s">
        <v>37</v>
      </c>
      <c r="C21" s="42" t="s">
        <v>36</v>
      </c>
      <c r="D21" s="53">
        <v>1078004</v>
      </c>
      <c r="E21" s="47">
        <v>-0.37018461538461545</v>
      </c>
      <c r="F21" s="34">
        <v>-399060.496123077</v>
      </c>
      <c r="G21" s="40"/>
      <c r="H21" s="36"/>
      <c r="I21" s="37">
        <f t="shared" si="2"/>
        <v>0</v>
      </c>
      <c r="J21" s="38"/>
      <c r="K21" s="39">
        <f t="shared" si="3"/>
        <v>0</v>
      </c>
      <c r="L21" s="38"/>
      <c r="M21" s="39">
        <f t="shared" si="4"/>
        <v>0</v>
      </c>
      <c r="N21" s="38"/>
      <c r="O21" s="39">
        <f t="shared" si="5"/>
        <v>0</v>
      </c>
      <c r="P21" s="38"/>
      <c r="Q21" s="39">
        <f t="shared" si="6"/>
        <v>0</v>
      </c>
      <c r="R21" s="40"/>
      <c r="S21" s="36"/>
      <c r="T21" s="37">
        <f t="shared" si="7"/>
        <v>0</v>
      </c>
      <c r="U21" s="38"/>
      <c r="V21" s="39">
        <f t="shared" si="8"/>
        <v>0</v>
      </c>
      <c r="W21" s="38"/>
      <c r="X21" s="39">
        <f t="shared" si="9"/>
        <v>0</v>
      </c>
      <c r="Y21" s="38"/>
      <c r="Z21" s="39">
        <f t="shared" si="10"/>
        <v>0</v>
      </c>
      <c r="AA21" s="38"/>
      <c r="AB21" s="39">
        <f t="shared" si="11"/>
        <v>0</v>
      </c>
      <c r="AC21" s="40"/>
      <c r="AD21" s="36"/>
      <c r="AE21" s="37">
        <f t="shared" si="12"/>
        <v>0</v>
      </c>
      <c r="AF21" s="38"/>
      <c r="AG21" s="39">
        <f t="shared" si="13"/>
        <v>0</v>
      </c>
      <c r="AH21" s="38"/>
      <c r="AI21" s="39">
        <f t="shared" si="14"/>
        <v>0</v>
      </c>
      <c r="AJ21" s="38"/>
      <c r="AK21" s="39">
        <f t="shared" si="15"/>
        <v>0</v>
      </c>
      <c r="AL21" s="38"/>
      <c r="AM21" s="39">
        <f t="shared" si="16"/>
        <v>0</v>
      </c>
      <c r="AN21" s="40"/>
      <c r="AO21" s="36">
        <v>0.2</v>
      </c>
      <c r="AP21" s="37">
        <f t="shared" si="17"/>
        <v>-79812.099224615406</v>
      </c>
      <c r="AQ21" s="38">
        <v>1</v>
      </c>
      <c r="AR21" s="39">
        <f t="shared" si="18"/>
        <v>-79812.099224615406</v>
      </c>
      <c r="AS21" s="38"/>
      <c r="AT21" s="39">
        <f t="shared" si="19"/>
        <v>0</v>
      </c>
      <c r="AU21" s="38"/>
      <c r="AV21" s="39">
        <f t="shared" si="20"/>
        <v>0</v>
      </c>
      <c r="AW21" s="38"/>
      <c r="AX21" s="39">
        <f t="shared" si="21"/>
        <v>0</v>
      </c>
      <c r="AY21" s="40"/>
      <c r="AZ21" s="36"/>
      <c r="BA21" s="37">
        <f t="shared" si="22"/>
        <v>0</v>
      </c>
      <c r="BB21" s="38"/>
      <c r="BC21" s="39">
        <f t="shared" si="23"/>
        <v>0</v>
      </c>
      <c r="BD21" s="38"/>
      <c r="BE21" s="39">
        <f t="shared" si="24"/>
        <v>0</v>
      </c>
      <c r="BF21" s="38"/>
      <c r="BG21" s="39">
        <f t="shared" si="25"/>
        <v>0</v>
      </c>
      <c r="BH21" s="38"/>
      <c r="BI21" s="39">
        <f t="shared" si="26"/>
        <v>0</v>
      </c>
      <c r="BJ21" s="40"/>
      <c r="BK21" s="36">
        <v>0.8</v>
      </c>
      <c r="BL21" s="37">
        <f t="shared" si="27"/>
        <v>-319248.39689846162</v>
      </c>
      <c r="BM21" s="38">
        <v>1</v>
      </c>
      <c r="BN21" s="39">
        <f t="shared" si="28"/>
        <v>-319248.39689846162</v>
      </c>
      <c r="BO21" s="38"/>
      <c r="BP21" s="39">
        <f t="shared" si="29"/>
        <v>0</v>
      </c>
      <c r="BQ21" s="38"/>
      <c r="BR21" s="39">
        <f t="shared" si="30"/>
        <v>0</v>
      </c>
      <c r="BS21" s="38"/>
      <c r="BT21" s="39">
        <f t="shared" si="31"/>
        <v>0</v>
      </c>
      <c r="BU21" s="40"/>
      <c r="BV21" s="36"/>
      <c r="BW21" s="37">
        <f t="shared" si="32"/>
        <v>0</v>
      </c>
      <c r="BX21" s="38"/>
      <c r="BY21" s="39">
        <f t="shared" si="33"/>
        <v>0</v>
      </c>
      <c r="BZ21" s="38"/>
      <c r="CA21" s="39">
        <f t="shared" si="34"/>
        <v>0</v>
      </c>
      <c r="CB21" s="38"/>
      <c r="CC21" s="39">
        <f t="shared" si="35"/>
        <v>0</v>
      </c>
      <c r="CD21" s="38"/>
      <c r="CE21" s="39">
        <f t="shared" si="36"/>
        <v>0</v>
      </c>
      <c r="CF21" s="40"/>
      <c r="CG21" s="36"/>
      <c r="CH21" s="37">
        <f t="shared" si="37"/>
        <v>0</v>
      </c>
      <c r="CI21" s="38"/>
      <c r="CJ21" s="39">
        <f t="shared" si="38"/>
        <v>0</v>
      </c>
      <c r="CK21" s="38"/>
      <c r="CL21" s="39">
        <f t="shared" si="39"/>
        <v>0</v>
      </c>
      <c r="CM21" s="38"/>
      <c r="CN21" s="39">
        <f t="shared" si="40"/>
        <v>0</v>
      </c>
      <c r="CO21" s="38"/>
      <c r="CP21" s="39">
        <f t="shared" si="41"/>
        <v>0</v>
      </c>
      <c r="CQ21" s="41">
        <f t="shared" si="0"/>
        <v>-399060.496123077</v>
      </c>
      <c r="CR21" s="41">
        <f t="shared" si="1"/>
        <v>-399060.496123077</v>
      </c>
      <c r="CS21" s="41">
        <f t="shared" si="42"/>
        <v>-399060.496123077</v>
      </c>
      <c r="CT21" s="16">
        <f t="shared" si="43"/>
        <v>0</v>
      </c>
    </row>
    <row r="22" spans="1:98" x14ac:dyDescent="0.25">
      <c r="B22" s="46" t="s">
        <v>38</v>
      </c>
      <c r="C22" s="42" t="s">
        <v>36</v>
      </c>
      <c r="D22" s="53">
        <v>152188.79999999999</v>
      </c>
      <c r="E22" s="47">
        <v>-0.18394000674081565</v>
      </c>
      <c r="F22" s="34">
        <v>-27993.608897876642</v>
      </c>
      <c r="G22" s="40"/>
      <c r="H22" s="36"/>
      <c r="I22" s="37">
        <f t="shared" si="2"/>
        <v>0</v>
      </c>
      <c r="J22" s="38"/>
      <c r="K22" s="39">
        <f t="shared" si="3"/>
        <v>0</v>
      </c>
      <c r="L22" s="38"/>
      <c r="M22" s="39">
        <f t="shared" si="4"/>
        <v>0</v>
      </c>
      <c r="N22" s="38"/>
      <c r="O22" s="39">
        <f t="shared" si="5"/>
        <v>0</v>
      </c>
      <c r="P22" s="38"/>
      <c r="Q22" s="39">
        <f t="shared" si="6"/>
        <v>0</v>
      </c>
      <c r="R22" s="40"/>
      <c r="S22" s="36"/>
      <c r="T22" s="37">
        <f t="shared" si="7"/>
        <v>0</v>
      </c>
      <c r="U22" s="38"/>
      <c r="V22" s="39">
        <f t="shared" si="8"/>
        <v>0</v>
      </c>
      <c r="W22" s="38"/>
      <c r="X22" s="39">
        <f t="shared" si="9"/>
        <v>0</v>
      </c>
      <c r="Y22" s="38"/>
      <c r="Z22" s="39">
        <f t="shared" si="10"/>
        <v>0</v>
      </c>
      <c r="AA22" s="38"/>
      <c r="AB22" s="39">
        <f t="shared" si="11"/>
        <v>0</v>
      </c>
      <c r="AC22" s="40"/>
      <c r="AD22" s="36"/>
      <c r="AE22" s="37">
        <f t="shared" si="12"/>
        <v>0</v>
      </c>
      <c r="AF22" s="38"/>
      <c r="AG22" s="39">
        <f t="shared" si="13"/>
        <v>0</v>
      </c>
      <c r="AH22" s="38"/>
      <c r="AI22" s="39">
        <f t="shared" si="14"/>
        <v>0</v>
      </c>
      <c r="AJ22" s="38"/>
      <c r="AK22" s="39">
        <f t="shared" si="15"/>
        <v>0</v>
      </c>
      <c r="AL22" s="38"/>
      <c r="AM22" s="39">
        <f t="shared" si="16"/>
        <v>0</v>
      </c>
      <c r="AN22" s="40"/>
      <c r="AO22" s="36">
        <v>1</v>
      </c>
      <c r="AP22" s="37">
        <f t="shared" si="17"/>
        <v>-27993.608897876642</v>
      </c>
      <c r="AQ22" s="38">
        <v>1</v>
      </c>
      <c r="AR22" s="39">
        <f t="shared" si="18"/>
        <v>-27993.608897876642</v>
      </c>
      <c r="AS22" s="38"/>
      <c r="AT22" s="39">
        <f t="shared" si="19"/>
        <v>0</v>
      </c>
      <c r="AU22" s="38"/>
      <c r="AV22" s="39">
        <f t="shared" si="20"/>
        <v>0</v>
      </c>
      <c r="AW22" s="38"/>
      <c r="AX22" s="39">
        <f t="shared" si="21"/>
        <v>0</v>
      </c>
      <c r="AY22" s="40"/>
      <c r="AZ22" s="36"/>
      <c r="BA22" s="37">
        <f t="shared" si="22"/>
        <v>0</v>
      </c>
      <c r="BB22" s="38"/>
      <c r="BC22" s="39">
        <f t="shared" si="23"/>
        <v>0</v>
      </c>
      <c r="BD22" s="38"/>
      <c r="BE22" s="39">
        <f t="shared" si="24"/>
        <v>0</v>
      </c>
      <c r="BF22" s="38"/>
      <c r="BG22" s="39">
        <f t="shared" si="25"/>
        <v>0</v>
      </c>
      <c r="BH22" s="38"/>
      <c r="BI22" s="39">
        <f t="shared" si="26"/>
        <v>0</v>
      </c>
      <c r="BJ22" s="40"/>
      <c r="BK22" s="36"/>
      <c r="BL22" s="37">
        <f t="shared" si="27"/>
        <v>0</v>
      </c>
      <c r="BM22" s="38"/>
      <c r="BN22" s="39">
        <f t="shared" si="28"/>
        <v>0</v>
      </c>
      <c r="BO22" s="38"/>
      <c r="BP22" s="39">
        <f t="shared" si="29"/>
        <v>0</v>
      </c>
      <c r="BQ22" s="38"/>
      <c r="BR22" s="39">
        <f t="shared" si="30"/>
        <v>0</v>
      </c>
      <c r="BS22" s="38"/>
      <c r="BT22" s="39">
        <f t="shared" si="31"/>
        <v>0</v>
      </c>
      <c r="BU22" s="40"/>
      <c r="BV22" s="36"/>
      <c r="BW22" s="37">
        <f t="shared" si="32"/>
        <v>0</v>
      </c>
      <c r="BX22" s="38"/>
      <c r="BY22" s="39">
        <f t="shared" si="33"/>
        <v>0</v>
      </c>
      <c r="BZ22" s="38"/>
      <c r="CA22" s="39">
        <f t="shared" si="34"/>
        <v>0</v>
      </c>
      <c r="CB22" s="38"/>
      <c r="CC22" s="39">
        <f t="shared" si="35"/>
        <v>0</v>
      </c>
      <c r="CD22" s="38"/>
      <c r="CE22" s="39">
        <f t="shared" si="36"/>
        <v>0</v>
      </c>
      <c r="CF22" s="40"/>
      <c r="CG22" s="36"/>
      <c r="CH22" s="37">
        <f t="shared" si="37"/>
        <v>0</v>
      </c>
      <c r="CI22" s="38"/>
      <c r="CJ22" s="39">
        <f t="shared" si="38"/>
        <v>0</v>
      </c>
      <c r="CK22" s="38"/>
      <c r="CL22" s="39">
        <f t="shared" si="39"/>
        <v>0</v>
      </c>
      <c r="CM22" s="38"/>
      <c r="CN22" s="39">
        <f t="shared" si="40"/>
        <v>0</v>
      </c>
      <c r="CO22" s="38"/>
      <c r="CP22" s="39">
        <f t="shared" si="41"/>
        <v>0</v>
      </c>
      <c r="CQ22" s="41">
        <f t="shared" si="0"/>
        <v>-27993.608897876642</v>
      </c>
      <c r="CR22" s="41">
        <f t="shared" si="1"/>
        <v>-27993.608897876642</v>
      </c>
      <c r="CS22" s="41">
        <f t="shared" si="42"/>
        <v>-27993.608897876642</v>
      </c>
      <c r="CT22" s="16">
        <f t="shared" si="43"/>
        <v>0</v>
      </c>
    </row>
    <row r="23" spans="1:98" x14ac:dyDescent="0.25">
      <c r="B23" s="46" t="s">
        <v>39</v>
      </c>
      <c r="C23" s="42" t="s">
        <v>40</v>
      </c>
      <c r="D23" s="53">
        <v>666.66666666666663</v>
      </c>
      <c r="E23" s="34">
        <v>105</v>
      </c>
      <c r="F23" s="34">
        <v>70000</v>
      </c>
      <c r="G23" s="40"/>
      <c r="H23" s="36"/>
      <c r="I23" s="37">
        <f t="shared" si="2"/>
        <v>0</v>
      </c>
      <c r="J23" s="38"/>
      <c r="K23" s="39">
        <f t="shared" si="3"/>
        <v>0</v>
      </c>
      <c r="L23" s="38"/>
      <c r="M23" s="39">
        <f t="shared" si="4"/>
        <v>0</v>
      </c>
      <c r="N23" s="38"/>
      <c r="O23" s="39">
        <f t="shared" si="5"/>
        <v>0</v>
      </c>
      <c r="P23" s="38"/>
      <c r="Q23" s="39">
        <f t="shared" si="6"/>
        <v>0</v>
      </c>
      <c r="R23" s="40"/>
      <c r="S23" s="36"/>
      <c r="T23" s="37">
        <f t="shared" si="7"/>
        <v>0</v>
      </c>
      <c r="U23" s="38"/>
      <c r="V23" s="39">
        <f t="shared" si="8"/>
        <v>0</v>
      </c>
      <c r="W23" s="38"/>
      <c r="X23" s="39">
        <f t="shared" si="9"/>
        <v>0</v>
      </c>
      <c r="Y23" s="38"/>
      <c r="Z23" s="39">
        <f t="shared" si="10"/>
        <v>0</v>
      </c>
      <c r="AA23" s="38"/>
      <c r="AB23" s="39">
        <f t="shared" si="11"/>
        <v>0</v>
      </c>
      <c r="AC23" s="40"/>
      <c r="AD23" s="36">
        <v>1</v>
      </c>
      <c r="AE23" s="37">
        <f t="shared" si="12"/>
        <v>70000</v>
      </c>
      <c r="AF23" s="38">
        <v>1</v>
      </c>
      <c r="AG23" s="39">
        <f t="shared" si="13"/>
        <v>70000</v>
      </c>
      <c r="AH23" s="38"/>
      <c r="AI23" s="39">
        <f t="shared" si="14"/>
        <v>0</v>
      </c>
      <c r="AJ23" s="38"/>
      <c r="AK23" s="39">
        <f t="shared" si="15"/>
        <v>0</v>
      </c>
      <c r="AL23" s="38"/>
      <c r="AM23" s="39">
        <f t="shared" si="16"/>
        <v>0</v>
      </c>
      <c r="AN23" s="40"/>
      <c r="AO23" s="36"/>
      <c r="AP23" s="37">
        <f t="shared" si="17"/>
        <v>0</v>
      </c>
      <c r="AQ23" s="38"/>
      <c r="AR23" s="39">
        <f t="shared" si="18"/>
        <v>0</v>
      </c>
      <c r="AS23" s="38"/>
      <c r="AT23" s="39">
        <f t="shared" si="19"/>
        <v>0</v>
      </c>
      <c r="AU23" s="38"/>
      <c r="AV23" s="39">
        <f t="shared" si="20"/>
        <v>0</v>
      </c>
      <c r="AW23" s="38"/>
      <c r="AX23" s="39">
        <f t="shared" si="21"/>
        <v>0</v>
      </c>
      <c r="AY23" s="40"/>
      <c r="AZ23" s="36"/>
      <c r="BA23" s="37">
        <f t="shared" si="22"/>
        <v>0</v>
      </c>
      <c r="BB23" s="38"/>
      <c r="BC23" s="39">
        <f t="shared" si="23"/>
        <v>0</v>
      </c>
      <c r="BD23" s="38"/>
      <c r="BE23" s="39">
        <f t="shared" si="24"/>
        <v>0</v>
      </c>
      <c r="BF23" s="38"/>
      <c r="BG23" s="39">
        <f t="shared" si="25"/>
        <v>0</v>
      </c>
      <c r="BH23" s="38"/>
      <c r="BI23" s="39">
        <f t="shared" si="26"/>
        <v>0</v>
      </c>
      <c r="BJ23" s="40"/>
      <c r="BK23" s="36"/>
      <c r="BL23" s="37">
        <f t="shared" si="27"/>
        <v>0</v>
      </c>
      <c r="BM23" s="38"/>
      <c r="BN23" s="39">
        <f t="shared" si="28"/>
        <v>0</v>
      </c>
      <c r="BO23" s="38"/>
      <c r="BP23" s="39">
        <f t="shared" si="29"/>
        <v>0</v>
      </c>
      <c r="BQ23" s="38"/>
      <c r="BR23" s="39">
        <f t="shared" si="30"/>
        <v>0</v>
      </c>
      <c r="BS23" s="38"/>
      <c r="BT23" s="39">
        <f t="shared" si="31"/>
        <v>0</v>
      </c>
      <c r="BU23" s="40"/>
      <c r="BV23" s="36"/>
      <c r="BW23" s="37">
        <f t="shared" si="32"/>
        <v>0</v>
      </c>
      <c r="BX23" s="38"/>
      <c r="BY23" s="39">
        <f t="shared" si="33"/>
        <v>0</v>
      </c>
      <c r="BZ23" s="38"/>
      <c r="CA23" s="39">
        <f t="shared" si="34"/>
        <v>0</v>
      </c>
      <c r="CB23" s="38"/>
      <c r="CC23" s="39">
        <f t="shared" si="35"/>
        <v>0</v>
      </c>
      <c r="CD23" s="38"/>
      <c r="CE23" s="39">
        <f t="shared" si="36"/>
        <v>0</v>
      </c>
      <c r="CF23" s="40"/>
      <c r="CG23" s="36"/>
      <c r="CH23" s="37">
        <f t="shared" si="37"/>
        <v>0</v>
      </c>
      <c r="CI23" s="38"/>
      <c r="CJ23" s="39">
        <f t="shared" si="38"/>
        <v>0</v>
      </c>
      <c r="CK23" s="38"/>
      <c r="CL23" s="39">
        <f t="shared" si="39"/>
        <v>0</v>
      </c>
      <c r="CM23" s="38"/>
      <c r="CN23" s="39">
        <f t="shared" si="40"/>
        <v>0</v>
      </c>
      <c r="CO23" s="38"/>
      <c r="CP23" s="39">
        <f t="shared" si="41"/>
        <v>0</v>
      </c>
      <c r="CQ23" s="41">
        <f t="shared" si="0"/>
        <v>70000</v>
      </c>
      <c r="CR23" s="41">
        <f t="shared" si="1"/>
        <v>70000</v>
      </c>
      <c r="CS23" s="41">
        <f t="shared" si="42"/>
        <v>70000</v>
      </c>
      <c r="CT23" s="16">
        <f t="shared" si="43"/>
        <v>0</v>
      </c>
    </row>
    <row r="24" spans="1:98" x14ac:dyDescent="0.25">
      <c r="B24" s="48" t="s">
        <v>192</v>
      </c>
      <c r="C24" s="42" t="s">
        <v>36</v>
      </c>
      <c r="D24" s="53">
        <v>157500</v>
      </c>
      <c r="E24" s="47">
        <v>-1.5825</v>
      </c>
      <c r="F24" s="34">
        <v>-249243.75</v>
      </c>
      <c r="G24" s="40"/>
      <c r="H24" s="36"/>
      <c r="I24" s="37">
        <f t="shared" si="2"/>
        <v>0</v>
      </c>
      <c r="J24" s="38"/>
      <c r="K24" s="39">
        <f t="shared" si="3"/>
        <v>0</v>
      </c>
      <c r="L24" s="38"/>
      <c r="M24" s="39">
        <f t="shared" si="4"/>
        <v>0</v>
      </c>
      <c r="N24" s="38"/>
      <c r="O24" s="39">
        <f t="shared" si="5"/>
        <v>0</v>
      </c>
      <c r="P24" s="38"/>
      <c r="Q24" s="39">
        <f t="shared" si="6"/>
        <v>0</v>
      </c>
      <c r="R24" s="40"/>
      <c r="S24" s="36"/>
      <c r="T24" s="37">
        <f t="shared" si="7"/>
        <v>0</v>
      </c>
      <c r="U24" s="38"/>
      <c r="V24" s="39">
        <f t="shared" si="8"/>
        <v>0</v>
      </c>
      <c r="W24" s="38"/>
      <c r="X24" s="39">
        <f t="shared" si="9"/>
        <v>0</v>
      </c>
      <c r="Y24" s="38"/>
      <c r="Z24" s="39">
        <f t="shared" si="10"/>
        <v>0</v>
      </c>
      <c r="AA24" s="38"/>
      <c r="AB24" s="39">
        <f t="shared" si="11"/>
        <v>0</v>
      </c>
      <c r="AC24" s="40"/>
      <c r="AD24" s="36"/>
      <c r="AE24" s="37">
        <f t="shared" si="12"/>
        <v>0</v>
      </c>
      <c r="AF24" s="38"/>
      <c r="AG24" s="39">
        <f t="shared" si="13"/>
        <v>0</v>
      </c>
      <c r="AH24" s="38"/>
      <c r="AI24" s="39">
        <f t="shared" si="14"/>
        <v>0</v>
      </c>
      <c r="AJ24" s="38"/>
      <c r="AK24" s="39">
        <f t="shared" si="15"/>
        <v>0</v>
      </c>
      <c r="AL24" s="38"/>
      <c r="AM24" s="39">
        <f t="shared" si="16"/>
        <v>0</v>
      </c>
      <c r="AN24" s="40"/>
      <c r="AO24" s="36">
        <v>0.1</v>
      </c>
      <c r="AP24" s="37">
        <f t="shared" si="17"/>
        <v>-24924.375</v>
      </c>
      <c r="AQ24" s="38">
        <v>1</v>
      </c>
      <c r="AR24" s="39">
        <f t="shared" si="18"/>
        <v>-24924.375</v>
      </c>
      <c r="AS24" s="38"/>
      <c r="AT24" s="39">
        <f t="shared" si="19"/>
        <v>0</v>
      </c>
      <c r="AU24" s="38"/>
      <c r="AV24" s="39">
        <f t="shared" si="20"/>
        <v>0</v>
      </c>
      <c r="AW24" s="38"/>
      <c r="AX24" s="39">
        <f t="shared" si="21"/>
        <v>0</v>
      </c>
      <c r="AY24" s="40"/>
      <c r="AZ24" s="36">
        <v>0.9</v>
      </c>
      <c r="BA24" s="37">
        <f t="shared" si="22"/>
        <v>-224319.375</v>
      </c>
      <c r="BB24" s="38">
        <v>1</v>
      </c>
      <c r="BC24" s="39">
        <f t="shared" si="23"/>
        <v>-224319.375</v>
      </c>
      <c r="BD24" s="38"/>
      <c r="BE24" s="39">
        <f t="shared" si="24"/>
        <v>0</v>
      </c>
      <c r="BF24" s="38"/>
      <c r="BG24" s="39">
        <f t="shared" si="25"/>
        <v>0</v>
      </c>
      <c r="BH24" s="38"/>
      <c r="BI24" s="39">
        <f t="shared" si="26"/>
        <v>0</v>
      </c>
      <c r="BJ24" s="40"/>
      <c r="BK24" s="36"/>
      <c r="BL24" s="37">
        <f t="shared" si="27"/>
        <v>0</v>
      </c>
      <c r="BM24" s="38"/>
      <c r="BN24" s="39">
        <f t="shared" si="28"/>
        <v>0</v>
      </c>
      <c r="BO24" s="38"/>
      <c r="BP24" s="39">
        <f t="shared" si="29"/>
        <v>0</v>
      </c>
      <c r="BQ24" s="38"/>
      <c r="BR24" s="39">
        <f t="shared" si="30"/>
        <v>0</v>
      </c>
      <c r="BS24" s="38"/>
      <c r="BT24" s="39">
        <f t="shared" si="31"/>
        <v>0</v>
      </c>
      <c r="BU24" s="40"/>
      <c r="BV24" s="36"/>
      <c r="BW24" s="37">
        <f t="shared" si="32"/>
        <v>0</v>
      </c>
      <c r="BX24" s="38"/>
      <c r="BY24" s="39">
        <f t="shared" si="33"/>
        <v>0</v>
      </c>
      <c r="BZ24" s="38"/>
      <c r="CA24" s="39">
        <f t="shared" si="34"/>
        <v>0</v>
      </c>
      <c r="CB24" s="38"/>
      <c r="CC24" s="39">
        <f t="shared" si="35"/>
        <v>0</v>
      </c>
      <c r="CD24" s="38"/>
      <c r="CE24" s="39">
        <f t="shared" si="36"/>
        <v>0</v>
      </c>
      <c r="CF24" s="40"/>
      <c r="CG24" s="36"/>
      <c r="CH24" s="37">
        <f t="shared" si="37"/>
        <v>0</v>
      </c>
      <c r="CI24" s="38"/>
      <c r="CJ24" s="39">
        <f t="shared" si="38"/>
        <v>0</v>
      </c>
      <c r="CK24" s="38"/>
      <c r="CL24" s="39">
        <f t="shared" si="39"/>
        <v>0</v>
      </c>
      <c r="CM24" s="38"/>
      <c r="CN24" s="39">
        <f t="shared" si="40"/>
        <v>0</v>
      </c>
      <c r="CO24" s="38"/>
      <c r="CP24" s="39">
        <f t="shared" si="41"/>
        <v>0</v>
      </c>
      <c r="CQ24" s="41">
        <f t="shared" si="0"/>
        <v>-249243.75</v>
      </c>
      <c r="CR24" s="41">
        <f t="shared" si="1"/>
        <v>-249243.75</v>
      </c>
      <c r="CS24" s="41">
        <f t="shared" si="42"/>
        <v>-249243.75</v>
      </c>
      <c r="CT24" s="16">
        <f t="shared" si="43"/>
        <v>0</v>
      </c>
    </row>
    <row r="25" spans="1:98" x14ac:dyDescent="0.25">
      <c r="A25" s="2"/>
      <c r="B25" s="51" t="s">
        <v>41</v>
      </c>
      <c r="C25" s="42" t="s">
        <v>33</v>
      </c>
      <c r="D25" s="53">
        <v>285.35399999999998</v>
      </c>
      <c r="E25" s="34">
        <v>65</v>
      </c>
      <c r="F25" s="34">
        <v>18548.009999999998</v>
      </c>
      <c r="G25" s="40"/>
      <c r="H25" s="36"/>
      <c r="I25" s="37">
        <f t="shared" si="2"/>
        <v>0</v>
      </c>
      <c r="J25" s="38"/>
      <c r="K25" s="39">
        <f t="shared" si="3"/>
        <v>0</v>
      </c>
      <c r="L25" s="38"/>
      <c r="M25" s="39">
        <f t="shared" si="4"/>
        <v>0</v>
      </c>
      <c r="N25" s="38"/>
      <c r="O25" s="39">
        <f t="shared" si="5"/>
        <v>0</v>
      </c>
      <c r="P25" s="38"/>
      <c r="Q25" s="39">
        <f t="shared" si="6"/>
        <v>0</v>
      </c>
      <c r="R25" s="40"/>
      <c r="S25" s="36">
        <v>0.14285714285714288</v>
      </c>
      <c r="T25" s="37">
        <f t="shared" si="7"/>
        <v>2649.7157142857145</v>
      </c>
      <c r="U25" s="38">
        <v>1</v>
      </c>
      <c r="V25" s="39">
        <f t="shared" si="8"/>
        <v>2649.7157142857145</v>
      </c>
      <c r="W25" s="38"/>
      <c r="X25" s="39">
        <f t="shared" si="9"/>
        <v>0</v>
      </c>
      <c r="Y25" s="38"/>
      <c r="Z25" s="39">
        <f t="shared" si="10"/>
        <v>0</v>
      </c>
      <c r="AA25" s="38"/>
      <c r="AB25" s="39">
        <f t="shared" si="11"/>
        <v>0</v>
      </c>
      <c r="AC25" s="40"/>
      <c r="AD25" s="36">
        <v>0.14285714285714288</v>
      </c>
      <c r="AE25" s="37">
        <f t="shared" si="12"/>
        <v>2649.7157142857145</v>
      </c>
      <c r="AF25" s="38">
        <v>1</v>
      </c>
      <c r="AG25" s="39">
        <f t="shared" si="13"/>
        <v>2649.7157142857145</v>
      </c>
      <c r="AH25" s="38"/>
      <c r="AI25" s="39">
        <f t="shared" si="14"/>
        <v>0</v>
      </c>
      <c r="AJ25" s="38"/>
      <c r="AK25" s="39">
        <f t="shared" si="15"/>
        <v>0</v>
      </c>
      <c r="AL25" s="38"/>
      <c r="AM25" s="39">
        <f t="shared" si="16"/>
        <v>0</v>
      </c>
      <c r="AN25" s="40"/>
      <c r="AO25" s="36">
        <v>0.14285714285714288</v>
      </c>
      <c r="AP25" s="37">
        <f t="shared" si="17"/>
        <v>2649.7157142857145</v>
      </c>
      <c r="AQ25" s="38">
        <v>1</v>
      </c>
      <c r="AR25" s="39">
        <f t="shared" si="18"/>
        <v>2649.7157142857145</v>
      </c>
      <c r="AS25" s="38"/>
      <c r="AT25" s="39">
        <f t="shared" si="19"/>
        <v>0</v>
      </c>
      <c r="AU25" s="38"/>
      <c r="AV25" s="39">
        <f t="shared" si="20"/>
        <v>0</v>
      </c>
      <c r="AW25" s="38"/>
      <c r="AX25" s="39">
        <f t="shared" si="21"/>
        <v>0</v>
      </c>
      <c r="AY25" s="40"/>
      <c r="AZ25" s="36">
        <v>0.14285714285714288</v>
      </c>
      <c r="BA25" s="37">
        <f t="shared" si="22"/>
        <v>2649.7157142857145</v>
      </c>
      <c r="BB25" s="38">
        <v>1</v>
      </c>
      <c r="BC25" s="39">
        <f t="shared" si="23"/>
        <v>2649.7157142857145</v>
      </c>
      <c r="BD25" s="52"/>
      <c r="BE25" s="39">
        <f t="shared" si="24"/>
        <v>0</v>
      </c>
      <c r="BF25" s="38"/>
      <c r="BG25" s="39">
        <f t="shared" si="25"/>
        <v>0</v>
      </c>
      <c r="BH25" s="38"/>
      <c r="BI25" s="39">
        <f t="shared" si="26"/>
        <v>0</v>
      </c>
      <c r="BJ25" s="40"/>
      <c r="BK25" s="36">
        <v>0.14285714285714288</v>
      </c>
      <c r="BL25" s="37">
        <f t="shared" si="27"/>
        <v>2649.7157142857145</v>
      </c>
      <c r="BM25" s="38">
        <v>1</v>
      </c>
      <c r="BN25" s="39">
        <f t="shared" si="28"/>
        <v>2649.7157142857145</v>
      </c>
      <c r="BO25" s="38"/>
      <c r="BP25" s="39">
        <f t="shared" si="29"/>
        <v>0</v>
      </c>
      <c r="BQ25" s="38"/>
      <c r="BR25" s="39">
        <f t="shared" si="30"/>
        <v>0</v>
      </c>
      <c r="BS25" s="38"/>
      <c r="BT25" s="39">
        <f t="shared" si="31"/>
        <v>0</v>
      </c>
      <c r="BU25" s="40"/>
      <c r="BV25" s="36">
        <v>0.14285714285714288</v>
      </c>
      <c r="BW25" s="37">
        <f t="shared" si="32"/>
        <v>2649.7157142857145</v>
      </c>
      <c r="BX25" s="38">
        <v>1</v>
      </c>
      <c r="BY25" s="39">
        <f t="shared" si="33"/>
        <v>2649.7157142857145</v>
      </c>
      <c r="BZ25" s="38"/>
      <c r="CA25" s="39">
        <f t="shared" si="34"/>
        <v>0</v>
      </c>
      <c r="CB25" s="38"/>
      <c r="CC25" s="39">
        <f t="shared" si="35"/>
        <v>0</v>
      </c>
      <c r="CD25" s="38"/>
      <c r="CE25" s="39">
        <f t="shared" si="36"/>
        <v>0</v>
      </c>
      <c r="CF25" s="40"/>
      <c r="CG25" s="36">
        <v>0.14285714285714288</v>
      </c>
      <c r="CH25" s="37">
        <f t="shared" si="37"/>
        <v>2649.7157142857145</v>
      </c>
      <c r="CI25" s="38">
        <v>1</v>
      </c>
      <c r="CJ25" s="39">
        <f t="shared" si="38"/>
        <v>2649.7157142857145</v>
      </c>
      <c r="CK25" s="38"/>
      <c r="CL25" s="39">
        <f t="shared" si="39"/>
        <v>0</v>
      </c>
      <c r="CM25" s="38"/>
      <c r="CN25" s="39">
        <f t="shared" si="40"/>
        <v>0</v>
      </c>
      <c r="CO25" s="38"/>
      <c r="CP25" s="39">
        <f t="shared" si="41"/>
        <v>0</v>
      </c>
      <c r="CQ25" s="41">
        <f t="shared" si="0"/>
        <v>18548.009999999998</v>
      </c>
      <c r="CR25" s="41">
        <f t="shared" si="1"/>
        <v>18548.010000000002</v>
      </c>
      <c r="CS25" s="41">
        <f t="shared" si="42"/>
        <v>18548.010000000002</v>
      </c>
      <c r="CT25" s="16">
        <f t="shared" si="43"/>
        <v>0</v>
      </c>
    </row>
    <row r="26" spans="1:98" x14ac:dyDescent="0.25">
      <c r="B26" s="46" t="s">
        <v>193</v>
      </c>
      <c r="C26" s="42" t="s">
        <v>42</v>
      </c>
      <c r="D26" s="53">
        <v>1</v>
      </c>
      <c r="E26" s="34">
        <v>100000</v>
      </c>
      <c r="F26" s="34">
        <v>100000</v>
      </c>
      <c r="G26" s="40"/>
      <c r="H26" s="36"/>
      <c r="I26" s="37">
        <f t="shared" si="2"/>
        <v>0</v>
      </c>
      <c r="J26" s="38"/>
      <c r="K26" s="39">
        <f t="shared" si="3"/>
        <v>0</v>
      </c>
      <c r="L26" s="38"/>
      <c r="M26" s="39">
        <f t="shared" si="4"/>
        <v>0</v>
      </c>
      <c r="N26" s="38"/>
      <c r="O26" s="39">
        <f t="shared" si="5"/>
        <v>0</v>
      </c>
      <c r="P26" s="38"/>
      <c r="Q26" s="39">
        <f t="shared" si="6"/>
        <v>0</v>
      </c>
      <c r="R26" s="40"/>
      <c r="S26" s="36"/>
      <c r="T26" s="37">
        <f t="shared" si="7"/>
        <v>0</v>
      </c>
      <c r="U26" s="38"/>
      <c r="V26" s="39">
        <f t="shared" si="8"/>
        <v>0</v>
      </c>
      <c r="W26" s="38"/>
      <c r="X26" s="39">
        <f t="shared" si="9"/>
        <v>0</v>
      </c>
      <c r="Y26" s="38"/>
      <c r="Z26" s="39">
        <f t="shared" si="10"/>
        <v>0</v>
      </c>
      <c r="AA26" s="38"/>
      <c r="AB26" s="39">
        <f t="shared" si="11"/>
        <v>0</v>
      </c>
      <c r="AC26" s="40"/>
      <c r="AD26" s="36">
        <v>0.8</v>
      </c>
      <c r="AE26" s="37">
        <f t="shared" si="12"/>
        <v>80000</v>
      </c>
      <c r="AF26" s="38">
        <v>1</v>
      </c>
      <c r="AG26" s="39">
        <f t="shared" si="13"/>
        <v>80000</v>
      </c>
      <c r="AH26" s="38"/>
      <c r="AI26" s="39">
        <f t="shared" si="14"/>
        <v>0</v>
      </c>
      <c r="AJ26" s="38"/>
      <c r="AK26" s="39">
        <f t="shared" si="15"/>
        <v>0</v>
      </c>
      <c r="AL26" s="38"/>
      <c r="AM26" s="39">
        <f t="shared" si="16"/>
        <v>0</v>
      </c>
      <c r="AN26" s="40"/>
      <c r="AO26" s="36">
        <v>0.2</v>
      </c>
      <c r="AP26" s="37">
        <f t="shared" si="17"/>
        <v>20000</v>
      </c>
      <c r="AQ26" s="38">
        <v>1</v>
      </c>
      <c r="AR26" s="39">
        <f t="shared" si="18"/>
        <v>20000</v>
      </c>
      <c r="AS26" s="38"/>
      <c r="AT26" s="39">
        <f t="shared" si="19"/>
        <v>0</v>
      </c>
      <c r="AU26" s="38"/>
      <c r="AV26" s="39">
        <f t="shared" si="20"/>
        <v>0</v>
      </c>
      <c r="AW26" s="38"/>
      <c r="AX26" s="39">
        <f t="shared" si="21"/>
        <v>0</v>
      </c>
      <c r="AY26" s="40"/>
      <c r="AZ26" s="36"/>
      <c r="BA26" s="37">
        <f t="shared" si="22"/>
        <v>0</v>
      </c>
      <c r="BB26" s="38"/>
      <c r="BC26" s="39">
        <f t="shared" si="23"/>
        <v>0</v>
      </c>
      <c r="BD26" s="38"/>
      <c r="BE26" s="39">
        <f t="shared" si="24"/>
        <v>0</v>
      </c>
      <c r="BF26" s="38"/>
      <c r="BG26" s="39">
        <f t="shared" si="25"/>
        <v>0</v>
      </c>
      <c r="BH26" s="38"/>
      <c r="BI26" s="39">
        <f t="shared" si="26"/>
        <v>0</v>
      </c>
      <c r="BJ26" s="40"/>
      <c r="BK26" s="36"/>
      <c r="BL26" s="37">
        <f t="shared" si="27"/>
        <v>0</v>
      </c>
      <c r="BM26" s="38"/>
      <c r="BN26" s="39">
        <f t="shared" si="28"/>
        <v>0</v>
      </c>
      <c r="BO26" s="38"/>
      <c r="BP26" s="39">
        <f t="shared" si="29"/>
        <v>0</v>
      </c>
      <c r="BQ26" s="38"/>
      <c r="BR26" s="39">
        <f t="shared" si="30"/>
        <v>0</v>
      </c>
      <c r="BS26" s="38"/>
      <c r="BT26" s="39">
        <f t="shared" si="31"/>
        <v>0</v>
      </c>
      <c r="BU26" s="40"/>
      <c r="BV26" s="36"/>
      <c r="BW26" s="37">
        <f t="shared" si="32"/>
        <v>0</v>
      </c>
      <c r="BX26" s="38"/>
      <c r="BY26" s="39">
        <f t="shared" si="33"/>
        <v>0</v>
      </c>
      <c r="BZ26" s="38"/>
      <c r="CA26" s="39">
        <f t="shared" si="34"/>
        <v>0</v>
      </c>
      <c r="CB26" s="38"/>
      <c r="CC26" s="39">
        <f t="shared" si="35"/>
        <v>0</v>
      </c>
      <c r="CD26" s="38"/>
      <c r="CE26" s="39">
        <f t="shared" si="36"/>
        <v>0</v>
      </c>
      <c r="CF26" s="40"/>
      <c r="CG26" s="36"/>
      <c r="CH26" s="37">
        <f t="shared" si="37"/>
        <v>0</v>
      </c>
      <c r="CI26" s="38"/>
      <c r="CJ26" s="39">
        <f t="shared" si="38"/>
        <v>0</v>
      </c>
      <c r="CK26" s="38"/>
      <c r="CL26" s="39">
        <f t="shared" si="39"/>
        <v>0</v>
      </c>
      <c r="CM26" s="38"/>
      <c r="CN26" s="39">
        <f t="shared" si="40"/>
        <v>0</v>
      </c>
      <c r="CO26" s="38"/>
      <c r="CP26" s="39">
        <f t="shared" si="41"/>
        <v>0</v>
      </c>
      <c r="CQ26" s="41">
        <f t="shared" si="0"/>
        <v>100000</v>
      </c>
      <c r="CR26" s="41">
        <f t="shared" si="1"/>
        <v>100000</v>
      </c>
      <c r="CS26" s="41">
        <f t="shared" si="42"/>
        <v>100000</v>
      </c>
      <c r="CT26" s="16">
        <f t="shared" si="43"/>
        <v>0</v>
      </c>
    </row>
    <row r="27" spans="1:98" x14ac:dyDescent="0.25">
      <c r="B27" s="48" t="s">
        <v>43</v>
      </c>
      <c r="C27" s="42" t="s">
        <v>33</v>
      </c>
      <c r="D27" s="53">
        <v>18000</v>
      </c>
      <c r="E27" s="34">
        <v>15</v>
      </c>
      <c r="F27" s="34">
        <v>270000</v>
      </c>
      <c r="G27" s="40"/>
      <c r="H27" s="36"/>
      <c r="I27" s="37">
        <f t="shared" si="2"/>
        <v>0</v>
      </c>
      <c r="J27" s="38"/>
      <c r="K27" s="39">
        <f t="shared" si="3"/>
        <v>0</v>
      </c>
      <c r="L27" s="38"/>
      <c r="M27" s="39">
        <f t="shared" si="4"/>
        <v>0</v>
      </c>
      <c r="N27" s="38"/>
      <c r="O27" s="39">
        <f t="shared" si="5"/>
        <v>0</v>
      </c>
      <c r="P27" s="38"/>
      <c r="Q27" s="39">
        <f t="shared" si="6"/>
        <v>0</v>
      </c>
      <c r="R27" s="40"/>
      <c r="S27" s="36">
        <v>1</v>
      </c>
      <c r="T27" s="37">
        <f t="shared" si="7"/>
        <v>270000</v>
      </c>
      <c r="U27" s="38">
        <v>1</v>
      </c>
      <c r="V27" s="39">
        <f t="shared" si="8"/>
        <v>270000</v>
      </c>
      <c r="W27" s="38"/>
      <c r="X27" s="39">
        <f t="shared" si="9"/>
        <v>0</v>
      </c>
      <c r="Y27" s="38"/>
      <c r="Z27" s="39">
        <f t="shared" si="10"/>
        <v>0</v>
      </c>
      <c r="AA27" s="38"/>
      <c r="AB27" s="39">
        <f t="shared" si="11"/>
        <v>0</v>
      </c>
      <c r="AC27" s="40"/>
      <c r="AD27" s="36"/>
      <c r="AE27" s="37">
        <f t="shared" si="12"/>
        <v>0</v>
      </c>
      <c r="AF27" s="38"/>
      <c r="AG27" s="39">
        <f t="shared" si="13"/>
        <v>0</v>
      </c>
      <c r="AH27" s="38"/>
      <c r="AI27" s="39">
        <f t="shared" si="14"/>
        <v>0</v>
      </c>
      <c r="AJ27" s="38"/>
      <c r="AK27" s="39">
        <f t="shared" si="15"/>
        <v>0</v>
      </c>
      <c r="AL27" s="38"/>
      <c r="AM27" s="39">
        <f t="shared" si="16"/>
        <v>0</v>
      </c>
      <c r="AN27" s="40"/>
      <c r="AO27" s="36"/>
      <c r="AP27" s="37">
        <f t="shared" si="17"/>
        <v>0</v>
      </c>
      <c r="AQ27" s="38"/>
      <c r="AR27" s="39">
        <f t="shared" si="18"/>
        <v>0</v>
      </c>
      <c r="AS27" s="38"/>
      <c r="AT27" s="39">
        <f t="shared" si="19"/>
        <v>0</v>
      </c>
      <c r="AU27" s="38"/>
      <c r="AV27" s="39">
        <f t="shared" si="20"/>
        <v>0</v>
      </c>
      <c r="AW27" s="38"/>
      <c r="AX27" s="39">
        <f t="shared" si="21"/>
        <v>0</v>
      </c>
      <c r="AY27" s="40"/>
      <c r="AZ27" s="36"/>
      <c r="BA27" s="37">
        <f t="shared" si="22"/>
        <v>0</v>
      </c>
      <c r="BB27" s="38"/>
      <c r="BC27" s="39">
        <f t="shared" si="23"/>
        <v>0</v>
      </c>
      <c r="BD27" s="38"/>
      <c r="BE27" s="39">
        <f t="shared" si="24"/>
        <v>0</v>
      </c>
      <c r="BF27" s="38"/>
      <c r="BG27" s="39">
        <f t="shared" si="25"/>
        <v>0</v>
      </c>
      <c r="BH27" s="38"/>
      <c r="BI27" s="39">
        <f t="shared" si="26"/>
        <v>0</v>
      </c>
      <c r="BJ27" s="40"/>
      <c r="BK27" s="36"/>
      <c r="BL27" s="37">
        <f t="shared" si="27"/>
        <v>0</v>
      </c>
      <c r="BM27" s="38"/>
      <c r="BN27" s="39">
        <f t="shared" si="28"/>
        <v>0</v>
      </c>
      <c r="BO27" s="38"/>
      <c r="BP27" s="39">
        <f t="shared" si="29"/>
        <v>0</v>
      </c>
      <c r="BQ27" s="38"/>
      <c r="BR27" s="39">
        <f t="shared" si="30"/>
        <v>0</v>
      </c>
      <c r="BS27" s="38"/>
      <c r="BT27" s="39">
        <f t="shared" si="31"/>
        <v>0</v>
      </c>
      <c r="BU27" s="40"/>
      <c r="BV27" s="36"/>
      <c r="BW27" s="37">
        <f t="shared" si="32"/>
        <v>0</v>
      </c>
      <c r="BX27" s="38"/>
      <c r="BY27" s="39">
        <f t="shared" si="33"/>
        <v>0</v>
      </c>
      <c r="BZ27" s="38"/>
      <c r="CA27" s="39">
        <f t="shared" si="34"/>
        <v>0</v>
      </c>
      <c r="CB27" s="38"/>
      <c r="CC27" s="39">
        <f t="shared" si="35"/>
        <v>0</v>
      </c>
      <c r="CD27" s="38"/>
      <c r="CE27" s="39">
        <f t="shared" si="36"/>
        <v>0</v>
      </c>
      <c r="CF27" s="40"/>
      <c r="CG27" s="36"/>
      <c r="CH27" s="37">
        <f t="shared" si="37"/>
        <v>0</v>
      </c>
      <c r="CI27" s="38"/>
      <c r="CJ27" s="39">
        <f t="shared" si="38"/>
        <v>0</v>
      </c>
      <c r="CK27" s="38"/>
      <c r="CL27" s="39">
        <f t="shared" si="39"/>
        <v>0</v>
      </c>
      <c r="CM27" s="38"/>
      <c r="CN27" s="39">
        <f t="shared" si="40"/>
        <v>0</v>
      </c>
      <c r="CO27" s="38"/>
      <c r="CP27" s="39">
        <f t="shared" si="41"/>
        <v>0</v>
      </c>
      <c r="CQ27" s="41">
        <f t="shared" si="0"/>
        <v>270000</v>
      </c>
      <c r="CR27" s="41">
        <f t="shared" si="1"/>
        <v>270000</v>
      </c>
      <c r="CS27" s="41">
        <f t="shared" si="42"/>
        <v>270000</v>
      </c>
      <c r="CT27" s="16">
        <f t="shared" si="43"/>
        <v>0</v>
      </c>
    </row>
    <row r="28" spans="1:98" x14ac:dyDescent="0.25">
      <c r="B28" s="46" t="s">
        <v>194</v>
      </c>
      <c r="C28" s="42" t="s">
        <v>33</v>
      </c>
      <c r="D28" s="53">
        <v>100</v>
      </c>
      <c r="E28" s="34">
        <v>-460.98461538461538</v>
      </c>
      <c r="F28" s="34">
        <v>-46098.461538461539</v>
      </c>
      <c r="G28" s="40"/>
      <c r="H28" s="36"/>
      <c r="I28" s="37">
        <f t="shared" si="2"/>
        <v>0</v>
      </c>
      <c r="J28" s="38"/>
      <c r="K28" s="39">
        <f t="shared" si="3"/>
        <v>0</v>
      </c>
      <c r="L28" s="38"/>
      <c r="M28" s="39">
        <f t="shared" si="4"/>
        <v>0</v>
      </c>
      <c r="N28" s="38"/>
      <c r="O28" s="39">
        <f t="shared" si="5"/>
        <v>0</v>
      </c>
      <c r="P28" s="38"/>
      <c r="Q28" s="39">
        <f t="shared" si="6"/>
        <v>0</v>
      </c>
      <c r="R28" s="40"/>
      <c r="S28" s="36"/>
      <c r="T28" s="37">
        <f t="shared" si="7"/>
        <v>0</v>
      </c>
      <c r="U28" s="38"/>
      <c r="V28" s="39">
        <f t="shared" si="8"/>
        <v>0</v>
      </c>
      <c r="W28" s="38"/>
      <c r="X28" s="39">
        <f t="shared" si="9"/>
        <v>0</v>
      </c>
      <c r="Y28" s="38"/>
      <c r="Z28" s="39">
        <f t="shared" si="10"/>
        <v>0</v>
      </c>
      <c r="AA28" s="38"/>
      <c r="AB28" s="39">
        <f t="shared" si="11"/>
        <v>0</v>
      </c>
      <c r="AC28" s="40"/>
      <c r="AD28" s="36"/>
      <c r="AE28" s="37">
        <f t="shared" si="12"/>
        <v>0</v>
      </c>
      <c r="AF28" s="38"/>
      <c r="AG28" s="39">
        <f t="shared" si="13"/>
        <v>0</v>
      </c>
      <c r="AH28" s="38"/>
      <c r="AI28" s="39">
        <f t="shared" si="14"/>
        <v>0</v>
      </c>
      <c r="AJ28" s="38"/>
      <c r="AK28" s="39">
        <f t="shared" si="15"/>
        <v>0</v>
      </c>
      <c r="AL28" s="38"/>
      <c r="AM28" s="39">
        <f t="shared" si="16"/>
        <v>0</v>
      </c>
      <c r="AN28" s="40"/>
      <c r="AO28" s="36"/>
      <c r="AP28" s="37">
        <f t="shared" si="17"/>
        <v>0</v>
      </c>
      <c r="AQ28" s="38"/>
      <c r="AR28" s="39">
        <f t="shared" si="18"/>
        <v>0</v>
      </c>
      <c r="AS28" s="38"/>
      <c r="AT28" s="39">
        <f t="shared" si="19"/>
        <v>0</v>
      </c>
      <c r="AU28" s="38"/>
      <c r="AV28" s="39">
        <f t="shared" si="20"/>
        <v>0</v>
      </c>
      <c r="AW28" s="38"/>
      <c r="AX28" s="39">
        <f t="shared" si="21"/>
        <v>0</v>
      </c>
      <c r="AY28" s="40"/>
      <c r="AZ28" s="36"/>
      <c r="BA28" s="37">
        <f t="shared" si="22"/>
        <v>0</v>
      </c>
      <c r="BB28" s="38"/>
      <c r="BC28" s="39">
        <f t="shared" si="23"/>
        <v>0</v>
      </c>
      <c r="BD28" s="38"/>
      <c r="BE28" s="39">
        <f t="shared" si="24"/>
        <v>0</v>
      </c>
      <c r="BF28" s="38"/>
      <c r="BG28" s="39">
        <f t="shared" si="25"/>
        <v>0</v>
      </c>
      <c r="BH28" s="38"/>
      <c r="BI28" s="39">
        <f t="shared" si="26"/>
        <v>0</v>
      </c>
      <c r="BJ28" s="40"/>
      <c r="BK28" s="36">
        <v>1</v>
      </c>
      <c r="BL28" s="37">
        <f t="shared" si="27"/>
        <v>-46098.461538461539</v>
      </c>
      <c r="BM28" s="38">
        <v>1</v>
      </c>
      <c r="BN28" s="39">
        <f t="shared" si="28"/>
        <v>-46098.461538461539</v>
      </c>
      <c r="BO28" s="38"/>
      <c r="BP28" s="39">
        <f t="shared" si="29"/>
        <v>0</v>
      </c>
      <c r="BQ28" s="38"/>
      <c r="BR28" s="39">
        <f t="shared" si="30"/>
        <v>0</v>
      </c>
      <c r="BS28" s="38"/>
      <c r="BT28" s="39">
        <f t="shared" si="31"/>
        <v>0</v>
      </c>
      <c r="BU28" s="40"/>
      <c r="BV28" s="36"/>
      <c r="BW28" s="37">
        <f t="shared" si="32"/>
        <v>0</v>
      </c>
      <c r="BX28" s="38"/>
      <c r="BY28" s="39">
        <f t="shared" si="33"/>
        <v>0</v>
      </c>
      <c r="BZ28" s="38"/>
      <c r="CA28" s="39">
        <f t="shared" si="34"/>
        <v>0</v>
      </c>
      <c r="CB28" s="38"/>
      <c r="CC28" s="39">
        <f t="shared" si="35"/>
        <v>0</v>
      </c>
      <c r="CD28" s="38"/>
      <c r="CE28" s="39">
        <f t="shared" si="36"/>
        <v>0</v>
      </c>
      <c r="CF28" s="40"/>
      <c r="CG28" s="36"/>
      <c r="CH28" s="37">
        <f t="shared" si="37"/>
        <v>0</v>
      </c>
      <c r="CI28" s="38"/>
      <c r="CJ28" s="39">
        <f t="shared" si="38"/>
        <v>0</v>
      </c>
      <c r="CK28" s="38"/>
      <c r="CL28" s="39">
        <f>CK28*CH28</f>
        <v>0</v>
      </c>
      <c r="CM28" s="38"/>
      <c r="CN28" s="39">
        <f t="shared" si="40"/>
        <v>0</v>
      </c>
      <c r="CO28" s="38"/>
      <c r="CP28" s="39">
        <f t="shared" si="41"/>
        <v>0</v>
      </c>
      <c r="CQ28" s="41">
        <f t="shared" si="0"/>
        <v>-46098.461538461539</v>
      </c>
      <c r="CR28" s="41">
        <f t="shared" si="1"/>
        <v>-46098.461538461539</v>
      </c>
      <c r="CS28" s="41">
        <f t="shared" si="42"/>
        <v>-46098.461538461539</v>
      </c>
      <c r="CT28" s="16">
        <f t="shared" si="43"/>
        <v>0</v>
      </c>
    </row>
    <row r="29" spans="1:98" x14ac:dyDescent="0.25">
      <c r="B29" s="46" t="s">
        <v>44</v>
      </c>
      <c r="C29" s="42" t="s">
        <v>40</v>
      </c>
      <c r="D29" s="53">
        <v>10481.481481481482</v>
      </c>
      <c r="E29" s="34">
        <v>40</v>
      </c>
      <c r="F29" s="34">
        <v>419259.25925925927</v>
      </c>
      <c r="G29" s="40"/>
      <c r="H29" s="36"/>
      <c r="I29" s="37">
        <f t="shared" si="2"/>
        <v>0</v>
      </c>
      <c r="J29" s="38"/>
      <c r="K29" s="39">
        <f t="shared" si="3"/>
        <v>0</v>
      </c>
      <c r="L29" s="38"/>
      <c r="M29" s="39">
        <f t="shared" si="4"/>
        <v>0</v>
      </c>
      <c r="N29" s="38"/>
      <c r="O29" s="39">
        <f t="shared" si="5"/>
        <v>0</v>
      </c>
      <c r="P29" s="38"/>
      <c r="Q29" s="39">
        <f t="shared" si="6"/>
        <v>0</v>
      </c>
      <c r="R29" s="40"/>
      <c r="S29" s="36">
        <v>1</v>
      </c>
      <c r="T29" s="37">
        <f t="shared" si="7"/>
        <v>419259.25925925927</v>
      </c>
      <c r="U29" s="38">
        <v>1</v>
      </c>
      <c r="V29" s="39">
        <f t="shared" si="8"/>
        <v>419259.25925925927</v>
      </c>
      <c r="W29" s="38"/>
      <c r="X29" s="39">
        <f t="shared" si="9"/>
        <v>0</v>
      </c>
      <c r="Y29" s="38"/>
      <c r="Z29" s="39">
        <f t="shared" si="10"/>
        <v>0</v>
      </c>
      <c r="AA29" s="38"/>
      <c r="AB29" s="39">
        <f t="shared" si="11"/>
        <v>0</v>
      </c>
      <c r="AC29" s="40"/>
      <c r="AD29" s="36"/>
      <c r="AE29" s="37">
        <f t="shared" si="12"/>
        <v>0</v>
      </c>
      <c r="AF29" s="38"/>
      <c r="AG29" s="39">
        <f t="shared" si="13"/>
        <v>0</v>
      </c>
      <c r="AH29" s="38"/>
      <c r="AI29" s="39">
        <f t="shared" si="14"/>
        <v>0</v>
      </c>
      <c r="AJ29" s="38"/>
      <c r="AK29" s="39">
        <f t="shared" si="15"/>
        <v>0</v>
      </c>
      <c r="AL29" s="38"/>
      <c r="AM29" s="39">
        <f t="shared" si="16"/>
        <v>0</v>
      </c>
      <c r="AN29" s="40"/>
      <c r="AO29" s="36"/>
      <c r="AP29" s="37">
        <f t="shared" si="17"/>
        <v>0</v>
      </c>
      <c r="AQ29" s="38"/>
      <c r="AR29" s="39">
        <f t="shared" si="18"/>
        <v>0</v>
      </c>
      <c r="AS29" s="38"/>
      <c r="AT29" s="39">
        <f t="shared" si="19"/>
        <v>0</v>
      </c>
      <c r="AU29" s="38"/>
      <c r="AV29" s="39">
        <f t="shared" si="20"/>
        <v>0</v>
      </c>
      <c r="AW29" s="38"/>
      <c r="AX29" s="39">
        <f t="shared" si="21"/>
        <v>0</v>
      </c>
      <c r="AY29" s="40"/>
      <c r="AZ29" s="36"/>
      <c r="BA29" s="37">
        <f t="shared" si="22"/>
        <v>0</v>
      </c>
      <c r="BB29" s="38"/>
      <c r="BC29" s="39">
        <f t="shared" si="23"/>
        <v>0</v>
      </c>
      <c r="BD29" s="38"/>
      <c r="BE29" s="39">
        <f t="shared" si="24"/>
        <v>0</v>
      </c>
      <c r="BF29" s="38"/>
      <c r="BG29" s="39">
        <f t="shared" si="25"/>
        <v>0</v>
      </c>
      <c r="BH29" s="38"/>
      <c r="BI29" s="39">
        <f t="shared" si="26"/>
        <v>0</v>
      </c>
      <c r="BJ29" s="40"/>
      <c r="BK29" s="36"/>
      <c r="BL29" s="37">
        <f t="shared" si="27"/>
        <v>0</v>
      </c>
      <c r="BM29" s="38"/>
      <c r="BN29" s="39">
        <f t="shared" si="28"/>
        <v>0</v>
      </c>
      <c r="BO29" s="38"/>
      <c r="BP29" s="39">
        <f t="shared" si="29"/>
        <v>0</v>
      </c>
      <c r="BQ29" s="38"/>
      <c r="BR29" s="39">
        <f t="shared" si="30"/>
        <v>0</v>
      </c>
      <c r="BS29" s="38"/>
      <c r="BT29" s="39">
        <f t="shared" si="31"/>
        <v>0</v>
      </c>
      <c r="BU29" s="40"/>
      <c r="BV29" s="36"/>
      <c r="BW29" s="37">
        <f t="shared" si="32"/>
        <v>0</v>
      </c>
      <c r="BX29" s="38"/>
      <c r="BY29" s="39">
        <f t="shared" si="33"/>
        <v>0</v>
      </c>
      <c r="BZ29" s="38"/>
      <c r="CA29" s="39">
        <f t="shared" si="34"/>
        <v>0</v>
      </c>
      <c r="CB29" s="38"/>
      <c r="CC29" s="39">
        <f t="shared" si="35"/>
        <v>0</v>
      </c>
      <c r="CD29" s="38"/>
      <c r="CE29" s="39">
        <f t="shared" si="36"/>
        <v>0</v>
      </c>
      <c r="CF29" s="40"/>
      <c r="CG29" s="36"/>
      <c r="CH29" s="37">
        <f t="shared" si="37"/>
        <v>0</v>
      </c>
      <c r="CI29" s="38"/>
      <c r="CJ29" s="39">
        <f t="shared" si="38"/>
        <v>0</v>
      </c>
      <c r="CK29" s="38"/>
      <c r="CL29" s="39">
        <f t="shared" ref="CL29" si="44">CK29*CH29</f>
        <v>0</v>
      </c>
      <c r="CM29" s="38"/>
      <c r="CN29" s="39">
        <f t="shared" si="40"/>
        <v>0</v>
      </c>
      <c r="CO29" s="38"/>
      <c r="CP29" s="39">
        <f t="shared" si="41"/>
        <v>0</v>
      </c>
      <c r="CQ29" s="41">
        <f t="shared" si="0"/>
        <v>419259.25925925927</v>
      </c>
      <c r="CR29" s="41">
        <f t="shared" si="1"/>
        <v>419259.25925925927</v>
      </c>
      <c r="CS29" s="41">
        <f t="shared" si="42"/>
        <v>419259.25925925927</v>
      </c>
      <c r="CT29" s="16">
        <f t="shared" si="43"/>
        <v>0</v>
      </c>
    </row>
    <row r="30" spans="1:98" x14ac:dyDescent="0.25">
      <c r="B30" s="46"/>
      <c r="C30" s="42"/>
      <c r="D30" s="53"/>
      <c r="E30" s="34"/>
      <c r="F30" s="34"/>
      <c r="G30" s="40"/>
      <c r="H30" s="36"/>
      <c r="I30" s="37"/>
      <c r="J30" s="38"/>
      <c r="K30" s="39"/>
      <c r="L30" s="38"/>
      <c r="M30" s="39"/>
      <c r="N30" s="38"/>
      <c r="O30" s="39"/>
      <c r="P30" s="38"/>
      <c r="Q30" s="39"/>
      <c r="R30" s="40"/>
      <c r="S30" s="36"/>
      <c r="T30" s="37"/>
      <c r="U30" s="38"/>
      <c r="V30" s="39"/>
      <c r="W30" s="38"/>
      <c r="X30" s="39"/>
      <c r="Y30" s="38"/>
      <c r="Z30" s="39"/>
      <c r="AA30" s="38"/>
      <c r="AB30" s="39"/>
      <c r="AC30" s="40"/>
      <c r="AD30" s="36"/>
      <c r="AE30" s="37"/>
      <c r="AF30" s="38"/>
      <c r="AG30" s="39"/>
      <c r="AH30" s="38"/>
      <c r="AI30" s="39"/>
      <c r="AJ30" s="38"/>
      <c r="AK30" s="39"/>
      <c r="AL30" s="38"/>
      <c r="AM30" s="39"/>
      <c r="AN30" s="40"/>
      <c r="AO30" s="36"/>
      <c r="AP30" s="37"/>
      <c r="AQ30" s="38"/>
      <c r="AR30" s="39"/>
      <c r="AS30" s="38"/>
      <c r="AT30" s="39"/>
      <c r="AU30" s="38"/>
      <c r="AV30" s="39"/>
      <c r="AW30" s="38"/>
      <c r="AX30" s="39"/>
      <c r="AY30" s="40"/>
      <c r="AZ30" s="36"/>
      <c r="BA30" s="37"/>
      <c r="BB30" s="38"/>
      <c r="BC30" s="39"/>
      <c r="BD30" s="38"/>
      <c r="BE30" s="39"/>
      <c r="BF30" s="38"/>
      <c r="BG30" s="39"/>
      <c r="BH30" s="38"/>
      <c r="BI30" s="39"/>
      <c r="BJ30" s="40"/>
      <c r="BK30" s="36"/>
      <c r="BL30" s="37"/>
      <c r="BM30" s="38"/>
      <c r="BN30" s="39"/>
      <c r="BO30" s="38"/>
      <c r="BP30" s="39"/>
      <c r="BQ30" s="38"/>
      <c r="BR30" s="39"/>
      <c r="BS30" s="38"/>
      <c r="BT30" s="39"/>
      <c r="BU30" s="40"/>
      <c r="BV30" s="36"/>
      <c r="BW30" s="37"/>
      <c r="BX30" s="38"/>
      <c r="BY30" s="39"/>
      <c r="BZ30" s="38"/>
      <c r="CA30" s="39"/>
      <c r="CB30" s="38"/>
      <c r="CC30" s="39"/>
      <c r="CD30" s="38"/>
      <c r="CE30" s="39"/>
      <c r="CF30" s="40"/>
      <c r="CG30" s="36"/>
      <c r="CH30" s="37"/>
      <c r="CI30" s="38"/>
      <c r="CJ30" s="39"/>
      <c r="CK30" s="38"/>
      <c r="CL30" s="39"/>
      <c r="CM30" s="38"/>
      <c r="CN30" s="39"/>
      <c r="CO30" s="38"/>
      <c r="CP30" s="39"/>
      <c r="CQ30" s="41"/>
      <c r="CR30" s="41"/>
      <c r="CS30" s="41">
        <f t="shared" si="42"/>
        <v>0</v>
      </c>
      <c r="CT30" s="16"/>
    </row>
    <row r="31" spans="1:98" x14ac:dyDescent="0.25">
      <c r="A31" s="1" t="s">
        <v>188</v>
      </c>
      <c r="C31" s="42"/>
      <c r="D31" s="53"/>
      <c r="E31" s="34"/>
      <c r="F31" s="34">
        <v>0</v>
      </c>
      <c r="G31" s="40"/>
      <c r="H31" s="36"/>
      <c r="I31" s="37">
        <f t="shared" ref="I31:I42" si="45">H31*$F31</f>
        <v>0</v>
      </c>
      <c r="J31" s="38"/>
      <c r="K31" s="39">
        <f t="shared" ref="K31:K42" si="46">J31*I31</f>
        <v>0</v>
      </c>
      <c r="L31" s="38"/>
      <c r="M31" s="39">
        <f t="shared" ref="M31:M42" si="47">L31*I31</f>
        <v>0</v>
      </c>
      <c r="N31" s="38"/>
      <c r="O31" s="39">
        <f t="shared" ref="O31:O42" si="48">N31*I31</f>
        <v>0</v>
      </c>
      <c r="P31" s="38"/>
      <c r="Q31" s="39">
        <f t="shared" ref="Q31:Q42" si="49">P31*I31</f>
        <v>0</v>
      </c>
      <c r="R31" s="40"/>
      <c r="S31" s="36"/>
      <c r="T31" s="37">
        <f t="shared" ref="T31:T42" si="50">S31*$F31</f>
        <v>0</v>
      </c>
      <c r="U31" s="38"/>
      <c r="V31" s="39">
        <f t="shared" ref="V31:V42" si="51">U31*T31</f>
        <v>0</v>
      </c>
      <c r="W31" s="38"/>
      <c r="X31" s="39">
        <f t="shared" ref="X31:X42" si="52">W31*T31</f>
        <v>0</v>
      </c>
      <c r="Y31" s="38"/>
      <c r="Z31" s="39">
        <f t="shared" ref="Z31:Z42" si="53">Y31*T31</f>
        <v>0</v>
      </c>
      <c r="AA31" s="38"/>
      <c r="AB31" s="39">
        <f t="shared" ref="AB31:AB42" si="54">AA31*T31</f>
        <v>0</v>
      </c>
      <c r="AC31" s="40"/>
      <c r="AD31" s="36"/>
      <c r="AE31" s="37">
        <f t="shared" ref="AE31:AE42" si="55">AD31*$F31</f>
        <v>0</v>
      </c>
      <c r="AF31" s="38"/>
      <c r="AG31" s="39">
        <f t="shared" ref="AG31:AG42" si="56">AF31*AE31</f>
        <v>0</v>
      </c>
      <c r="AH31" s="38"/>
      <c r="AI31" s="39">
        <f t="shared" ref="AI31:AI42" si="57">AH31*AE31</f>
        <v>0</v>
      </c>
      <c r="AJ31" s="38"/>
      <c r="AK31" s="39">
        <f t="shared" ref="AK31:AK42" si="58">AJ31*AE31</f>
        <v>0</v>
      </c>
      <c r="AL31" s="38"/>
      <c r="AM31" s="39">
        <f t="shared" ref="AM31:AM42" si="59">AL31*AE31</f>
        <v>0</v>
      </c>
      <c r="AN31" s="40"/>
      <c r="AO31" s="36"/>
      <c r="AP31" s="37">
        <f t="shared" ref="AP31:AP42" si="60">AO31*$F31</f>
        <v>0</v>
      </c>
      <c r="AQ31" s="38"/>
      <c r="AR31" s="39">
        <f t="shared" ref="AR31:AR42" si="61">AQ31*AP31</f>
        <v>0</v>
      </c>
      <c r="AS31" s="38"/>
      <c r="AT31" s="39">
        <f t="shared" ref="AT31:AT42" si="62">AS31*AP31</f>
        <v>0</v>
      </c>
      <c r="AU31" s="38"/>
      <c r="AV31" s="39">
        <f t="shared" ref="AV31:AV42" si="63">AU31*AP31</f>
        <v>0</v>
      </c>
      <c r="AW31" s="38"/>
      <c r="AX31" s="39">
        <f t="shared" ref="AX31:AX42" si="64">AW31*AP31</f>
        <v>0</v>
      </c>
      <c r="AY31" s="40"/>
      <c r="AZ31" s="36"/>
      <c r="BA31" s="37">
        <f t="shared" ref="BA31:BA42" si="65">AZ31*$F31</f>
        <v>0</v>
      </c>
      <c r="BB31" s="38"/>
      <c r="BC31" s="39">
        <f t="shared" ref="BC31:BC42" si="66">BB31*BA31</f>
        <v>0</v>
      </c>
      <c r="BD31" s="38"/>
      <c r="BE31" s="39">
        <f t="shared" ref="BE31:BE42" si="67">BD31*BA31</f>
        <v>0</v>
      </c>
      <c r="BF31" s="38"/>
      <c r="BG31" s="39">
        <f t="shared" ref="BG31:BG42" si="68">BF31*BA31</f>
        <v>0</v>
      </c>
      <c r="BH31" s="38"/>
      <c r="BI31" s="39">
        <f t="shared" ref="BI31:BI42" si="69">BH31*BA31</f>
        <v>0</v>
      </c>
      <c r="BJ31" s="40"/>
      <c r="BK31" s="36"/>
      <c r="BL31" s="37">
        <f t="shared" ref="BL31:BL42" si="70">BK31*$F31</f>
        <v>0</v>
      </c>
      <c r="BM31" s="38"/>
      <c r="BN31" s="39">
        <f t="shared" ref="BN31:BN42" si="71">BM31*BL31</f>
        <v>0</v>
      </c>
      <c r="BO31" s="38"/>
      <c r="BP31" s="39">
        <f t="shared" ref="BP31:BP42" si="72">BO31*BL31</f>
        <v>0</v>
      </c>
      <c r="BQ31" s="38"/>
      <c r="BR31" s="39">
        <f t="shared" ref="BR31:BR42" si="73">BQ31*BL31</f>
        <v>0</v>
      </c>
      <c r="BS31" s="38"/>
      <c r="BT31" s="39">
        <f t="shared" ref="BT31:BT42" si="74">BS31*BL31</f>
        <v>0</v>
      </c>
      <c r="BU31" s="40"/>
      <c r="BV31" s="36"/>
      <c r="BW31" s="37">
        <f t="shared" ref="BW31:BW42" si="75">BV31*$F31</f>
        <v>0</v>
      </c>
      <c r="BX31" s="38"/>
      <c r="BY31" s="39">
        <f t="shared" ref="BY31:BY42" si="76">BX31*BW31</f>
        <v>0</v>
      </c>
      <c r="BZ31" s="38"/>
      <c r="CA31" s="39">
        <f t="shared" ref="CA31:CA42" si="77">BZ31*BW31</f>
        <v>0</v>
      </c>
      <c r="CB31" s="38"/>
      <c r="CC31" s="39">
        <f t="shared" ref="CC31:CC42" si="78">CB31*BW31</f>
        <v>0</v>
      </c>
      <c r="CD31" s="38"/>
      <c r="CE31" s="39">
        <f t="shared" ref="CE31:CE42" si="79">CD31*BW31</f>
        <v>0</v>
      </c>
      <c r="CF31" s="40"/>
      <c r="CG31" s="36"/>
      <c r="CH31" s="37">
        <f t="shared" ref="CH31:CH42" si="80">CG31*$F31</f>
        <v>0</v>
      </c>
      <c r="CI31" s="38"/>
      <c r="CJ31" s="39">
        <f t="shared" ref="CJ31:CJ42" si="81">CI31*CH31</f>
        <v>0</v>
      </c>
      <c r="CK31" s="38"/>
      <c r="CL31" s="39">
        <f t="shared" ref="CL31:CL42" si="82">CK31*CH31</f>
        <v>0</v>
      </c>
      <c r="CM31" s="38"/>
      <c r="CN31" s="39">
        <f t="shared" ref="CN31:CN42" si="83">CM31*CH31</f>
        <v>0</v>
      </c>
      <c r="CO31" s="38"/>
      <c r="CP31" s="39">
        <f t="shared" ref="CP31:CP42" si="84">CO31*CH31</f>
        <v>0</v>
      </c>
      <c r="CQ31" s="41">
        <f t="shared" ref="CQ31:CQ42" si="85">F31</f>
        <v>0</v>
      </c>
      <c r="CR31" s="41">
        <f t="shared" ref="CR31:CR42" si="86">I31+T31+AE31+AP31+BA31+BL31+BW31+CH31</f>
        <v>0</v>
      </c>
      <c r="CS31" s="41">
        <f t="shared" si="42"/>
        <v>0</v>
      </c>
      <c r="CT31" s="16">
        <f t="shared" ref="CT31:CT42" si="87">IF(AND(CQ31=CR31,CR31=CS31,CQ31=CS31),0,1)</f>
        <v>0</v>
      </c>
    </row>
    <row r="32" spans="1:98" x14ac:dyDescent="0.25">
      <c r="B32" s="46" t="s">
        <v>32</v>
      </c>
      <c r="C32" s="42" t="s">
        <v>33</v>
      </c>
      <c r="D32" s="53">
        <v>14394.523999999999</v>
      </c>
      <c r="E32" s="34">
        <v>240</v>
      </c>
      <c r="F32" s="34">
        <v>3454685.76</v>
      </c>
      <c r="G32" s="40"/>
      <c r="H32" s="36"/>
      <c r="I32" s="37">
        <f t="shared" si="45"/>
        <v>0</v>
      </c>
      <c r="J32" s="38"/>
      <c r="K32" s="39">
        <f t="shared" si="46"/>
        <v>0</v>
      </c>
      <c r="L32" s="38"/>
      <c r="M32" s="39">
        <f t="shared" si="47"/>
        <v>0</v>
      </c>
      <c r="N32" s="38"/>
      <c r="O32" s="39">
        <f t="shared" si="48"/>
        <v>0</v>
      </c>
      <c r="P32" s="38"/>
      <c r="Q32" s="39">
        <f t="shared" si="49"/>
        <v>0</v>
      </c>
      <c r="R32" s="40"/>
      <c r="S32" s="36"/>
      <c r="T32" s="37">
        <f t="shared" si="50"/>
        <v>0</v>
      </c>
      <c r="U32" s="38"/>
      <c r="V32" s="39">
        <f t="shared" si="51"/>
        <v>0</v>
      </c>
      <c r="W32" s="38"/>
      <c r="X32" s="39">
        <f t="shared" si="52"/>
        <v>0</v>
      </c>
      <c r="Y32" s="38"/>
      <c r="Z32" s="39">
        <f t="shared" si="53"/>
        <v>0</v>
      </c>
      <c r="AA32" s="38"/>
      <c r="AB32" s="39">
        <f t="shared" si="54"/>
        <v>0</v>
      </c>
      <c r="AC32" s="40"/>
      <c r="AD32" s="36">
        <v>0.6</v>
      </c>
      <c r="AE32" s="37">
        <f t="shared" si="55"/>
        <v>2072811.4559999998</v>
      </c>
      <c r="AF32" s="38"/>
      <c r="AG32" s="39">
        <f t="shared" si="56"/>
        <v>0</v>
      </c>
      <c r="AH32" s="38">
        <v>1</v>
      </c>
      <c r="AI32" s="39">
        <f t="shared" si="57"/>
        <v>2072811.4559999998</v>
      </c>
      <c r="AJ32" s="38"/>
      <c r="AK32" s="39">
        <f t="shared" si="58"/>
        <v>0</v>
      </c>
      <c r="AL32" s="38"/>
      <c r="AM32" s="39">
        <f t="shared" si="59"/>
        <v>0</v>
      </c>
      <c r="AN32" s="40"/>
      <c r="AO32" s="36">
        <v>0.2</v>
      </c>
      <c r="AP32" s="37">
        <f t="shared" si="60"/>
        <v>690937.152</v>
      </c>
      <c r="AQ32" s="38"/>
      <c r="AR32" s="39">
        <f t="shared" si="61"/>
        <v>0</v>
      </c>
      <c r="AS32" s="38">
        <v>1</v>
      </c>
      <c r="AT32" s="39">
        <f t="shared" si="62"/>
        <v>690937.152</v>
      </c>
      <c r="AU32" s="38"/>
      <c r="AV32" s="39">
        <f t="shared" si="63"/>
        <v>0</v>
      </c>
      <c r="AW32" s="38"/>
      <c r="AX32" s="39">
        <f t="shared" si="64"/>
        <v>0</v>
      </c>
      <c r="AY32" s="40"/>
      <c r="AZ32" s="36">
        <v>0.15</v>
      </c>
      <c r="BA32" s="37">
        <f t="shared" si="65"/>
        <v>518202.86399999994</v>
      </c>
      <c r="BB32" s="38"/>
      <c r="BC32" s="39">
        <f t="shared" si="66"/>
        <v>0</v>
      </c>
      <c r="BD32" s="38">
        <v>1</v>
      </c>
      <c r="BE32" s="39">
        <f t="shared" si="67"/>
        <v>518202.86399999994</v>
      </c>
      <c r="BF32" s="38"/>
      <c r="BG32" s="39">
        <f t="shared" si="68"/>
        <v>0</v>
      </c>
      <c r="BH32" s="38"/>
      <c r="BI32" s="39">
        <f t="shared" si="69"/>
        <v>0</v>
      </c>
      <c r="BJ32" s="40"/>
      <c r="BK32" s="36">
        <v>0.05</v>
      </c>
      <c r="BL32" s="37">
        <f t="shared" si="70"/>
        <v>172734.288</v>
      </c>
      <c r="BM32" s="38"/>
      <c r="BN32" s="39">
        <f t="shared" si="71"/>
        <v>0</v>
      </c>
      <c r="BO32" s="38">
        <v>1</v>
      </c>
      <c r="BP32" s="39">
        <f t="shared" si="72"/>
        <v>172734.288</v>
      </c>
      <c r="BQ32" s="38"/>
      <c r="BR32" s="39">
        <f t="shared" si="73"/>
        <v>0</v>
      </c>
      <c r="BS32" s="38"/>
      <c r="BT32" s="39">
        <f t="shared" si="74"/>
        <v>0</v>
      </c>
      <c r="BU32" s="40"/>
      <c r="BV32" s="36"/>
      <c r="BW32" s="37">
        <f t="shared" si="75"/>
        <v>0</v>
      </c>
      <c r="BX32" s="38"/>
      <c r="BY32" s="39">
        <f t="shared" si="76"/>
        <v>0</v>
      </c>
      <c r="BZ32" s="38"/>
      <c r="CA32" s="39">
        <f t="shared" si="77"/>
        <v>0</v>
      </c>
      <c r="CB32" s="38"/>
      <c r="CC32" s="39">
        <f t="shared" si="78"/>
        <v>0</v>
      </c>
      <c r="CD32" s="38"/>
      <c r="CE32" s="39">
        <f t="shared" si="79"/>
        <v>0</v>
      </c>
      <c r="CF32" s="40"/>
      <c r="CG32" s="36"/>
      <c r="CH32" s="37">
        <f t="shared" si="80"/>
        <v>0</v>
      </c>
      <c r="CI32" s="38"/>
      <c r="CJ32" s="39">
        <f t="shared" si="81"/>
        <v>0</v>
      </c>
      <c r="CK32" s="38"/>
      <c r="CL32" s="39">
        <f t="shared" si="82"/>
        <v>0</v>
      </c>
      <c r="CM32" s="38"/>
      <c r="CN32" s="39">
        <f t="shared" si="83"/>
        <v>0</v>
      </c>
      <c r="CO32" s="38"/>
      <c r="CP32" s="39">
        <f t="shared" si="84"/>
        <v>0</v>
      </c>
      <c r="CQ32" s="41">
        <f t="shared" si="85"/>
        <v>3454685.76</v>
      </c>
      <c r="CR32" s="41">
        <f t="shared" si="86"/>
        <v>3454685.7600000002</v>
      </c>
      <c r="CS32" s="41">
        <f t="shared" si="42"/>
        <v>3454685.76</v>
      </c>
      <c r="CT32" s="16">
        <f t="shared" si="87"/>
        <v>0</v>
      </c>
    </row>
    <row r="33" spans="1:98" x14ac:dyDescent="0.25">
      <c r="B33" s="46" t="s">
        <v>34</v>
      </c>
      <c r="C33" s="42" t="s">
        <v>33</v>
      </c>
      <c r="D33" s="53">
        <v>14394.523999999999</v>
      </c>
      <c r="E33" s="34">
        <v>-180.52631578947367</v>
      </c>
      <c r="F33" s="34">
        <v>-2598590.3852631575</v>
      </c>
      <c r="G33" s="40"/>
      <c r="H33" s="36"/>
      <c r="I33" s="37">
        <f t="shared" si="45"/>
        <v>0</v>
      </c>
      <c r="J33" s="38"/>
      <c r="K33" s="39">
        <f t="shared" si="46"/>
        <v>0</v>
      </c>
      <c r="L33" s="38"/>
      <c r="M33" s="39">
        <f t="shared" si="47"/>
        <v>0</v>
      </c>
      <c r="N33" s="38"/>
      <c r="O33" s="39">
        <f t="shared" si="48"/>
        <v>0</v>
      </c>
      <c r="P33" s="38"/>
      <c r="Q33" s="39">
        <f t="shared" si="49"/>
        <v>0</v>
      </c>
      <c r="R33" s="40"/>
      <c r="S33" s="36"/>
      <c r="T33" s="37">
        <f t="shared" si="50"/>
        <v>0</v>
      </c>
      <c r="U33" s="38"/>
      <c r="V33" s="39">
        <f t="shared" si="51"/>
        <v>0</v>
      </c>
      <c r="W33" s="38"/>
      <c r="X33" s="39">
        <f t="shared" si="52"/>
        <v>0</v>
      </c>
      <c r="Y33" s="38"/>
      <c r="Z33" s="39">
        <f t="shared" si="53"/>
        <v>0</v>
      </c>
      <c r="AA33" s="38"/>
      <c r="AB33" s="39">
        <f t="shared" si="54"/>
        <v>0</v>
      </c>
      <c r="AC33" s="40"/>
      <c r="AD33" s="36">
        <v>0.6</v>
      </c>
      <c r="AE33" s="37">
        <f t="shared" si="55"/>
        <v>-1559154.2311578945</v>
      </c>
      <c r="AF33" s="38"/>
      <c r="AG33" s="39">
        <f t="shared" si="56"/>
        <v>0</v>
      </c>
      <c r="AH33" s="38">
        <v>1</v>
      </c>
      <c r="AI33" s="39">
        <f t="shared" si="57"/>
        <v>-1559154.2311578945</v>
      </c>
      <c r="AJ33" s="38"/>
      <c r="AK33" s="39">
        <f t="shared" si="58"/>
        <v>0</v>
      </c>
      <c r="AL33" s="38"/>
      <c r="AM33" s="39">
        <f t="shared" si="59"/>
        <v>0</v>
      </c>
      <c r="AN33" s="40"/>
      <c r="AO33" s="36">
        <v>0.25</v>
      </c>
      <c r="AP33" s="37">
        <f t="shared" si="60"/>
        <v>-649647.59631578939</v>
      </c>
      <c r="AQ33" s="38"/>
      <c r="AR33" s="39">
        <f t="shared" si="61"/>
        <v>0</v>
      </c>
      <c r="AS33" s="38">
        <v>1</v>
      </c>
      <c r="AT33" s="39">
        <f t="shared" si="62"/>
        <v>-649647.59631578939</v>
      </c>
      <c r="AU33" s="38"/>
      <c r="AV33" s="39">
        <f t="shared" si="63"/>
        <v>0</v>
      </c>
      <c r="AW33" s="38"/>
      <c r="AX33" s="39">
        <f t="shared" si="64"/>
        <v>0</v>
      </c>
      <c r="AY33" s="40"/>
      <c r="AZ33" s="36">
        <v>0.15</v>
      </c>
      <c r="BA33" s="37">
        <f t="shared" si="65"/>
        <v>-389788.55778947362</v>
      </c>
      <c r="BB33" s="38"/>
      <c r="BC33" s="39">
        <f t="shared" si="66"/>
        <v>0</v>
      </c>
      <c r="BD33" s="38">
        <v>1</v>
      </c>
      <c r="BE33" s="39">
        <f t="shared" si="67"/>
        <v>-389788.55778947362</v>
      </c>
      <c r="BF33" s="38"/>
      <c r="BG33" s="39">
        <f t="shared" si="68"/>
        <v>0</v>
      </c>
      <c r="BH33" s="38"/>
      <c r="BI33" s="39">
        <f t="shared" si="69"/>
        <v>0</v>
      </c>
      <c r="BJ33" s="40"/>
      <c r="BK33" s="36"/>
      <c r="BL33" s="37">
        <f t="shared" si="70"/>
        <v>0</v>
      </c>
      <c r="BM33" s="38"/>
      <c r="BN33" s="39">
        <f t="shared" si="71"/>
        <v>0</v>
      </c>
      <c r="BO33" s="38"/>
      <c r="BP33" s="39">
        <f t="shared" si="72"/>
        <v>0</v>
      </c>
      <c r="BQ33" s="38"/>
      <c r="BR33" s="39">
        <f t="shared" si="73"/>
        <v>0</v>
      </c>
      <c r="BS33" s="38"/>
      <c r="BT33" s="39">
        <f t="shared" si="74"/>
        <v>0</v>
      </c>
      <c r="BU33" s="40"/>
      <c r="BV33" s="36"/>
      <c r="BW33" s="37">
        <f t="shared" si="75"/>
        <v>0</v>
      </c>
      <c r="BX33" s="38"/>
      <c r="BY33" s="39">
        <f t="shared" si="76"/>
        <v>0</v>
      </c>
      <c r="BZ33" s="38"/>
      <c r="CA33" s="39">
        <f t="shared" si="77"/>
        <v>0</v>
      </c>
      <c r="CB33" s="38"/>
      <c r="CC33" s="39">
        <f t="shared" si="78"/>
        <v>0</v>
      </c>
      <c r="CD33" s="38"/>
      <c r="CE33" s="39">
        <f t="shared" si="79"/>
        <v>0</v>
      </c>
      <c r="CF33" s="40"/>
      <c r="CG33" s="36"/>
      <c r="CH33" s="37">
        <f t="shared" si="80"/>
        <v>0</v>
      </c>
      <c r="CI33" s="38"/>
      <c r="CJ33" s="39">
        <f t="shared" si="81"/>
        <v>0</v>
      </c>
      <c r="CK33" s="38"/>
      <c r="CL33" s="39">
        <f t="shared" si="82"/>
        <v>0</v>
      </c>
      <c r="CM33" s="38"/>
      <c r="CN33" s="39">
        <f t="shared" si="83"/>
        <v>0</v>
      </c>
      <c r="CO33" s="38"/>
      <c r="CP33" s="39">
        <f t="shared" si="84"/>
        <v>0</v>
      </c>
      <c r="CQ33" s="41">
        <f t="shared" si="85"/>
        <v>-2598590.3852631575</v>
      </c>
      <c r="CR33" s="41">
        <f t="shared" si="86"/>
        <v>-2598590.3852631575</v>
      </c>
      <c r="CS33" s="41">
        <f t="shared" si="42"/>
        <v>-2598590.3852631575</v>
      </c>
      <c r="CT33" s="16">
        <f t="shared" si="87"/>
        <v>0</v>
      </c>
    </row>
    <row r="34" spans="1:98" x14ac:dyDescent="0.25">
      <c r="B34" s="46" t="s">
        <v>35</v>
      </c>
      <c r="C34" s="42" t="s">
        <v>36</v>
      </c>
      <c r="D34" s="53">
        <v>129550.716</v>
      </c>
      <c r="E34" s="47">
        <v>-0.39039473684210513</v>
      </c>
      <c r="F34" s="34">
        <v>-50575.917680526298</v>
      </c>
      <c r="G34" s="40"/>
      <c r="H34" s="36"/>
      <c r="I34" s="37">
        <f t="shared" si="45"/>
        <v>0</v>
      </c>
      <c r="J34" s="38"/>
      <c r="K34" s="39">
        <f t="shared" si="46"/>
        <v>0</v>
      </c>
      <c r="L34" s="38"/>
      <c r="M34" s="39">
        <f t="shared" si="47"/>
        <v>0</v>
      </c>
      <c r="N34" s="38"/>
      <c r="O34" s="39">
        <f t="shared" si="48"/>
        <v>0</v>
      </c>
      <c r="P34" s="38"/>
      <c r="Q34" s="39">
        <f t="shared" si="49"/>
        <v>0</v>
      </c>
      <c r="R34" s="40"/>
      <c r="S34" s="36"/>
      <c r="T34" s="37">
        <f t="shared" si="50"/>
        <v>0</v>
      </c>
      <c r="U34" s="38"/>
      <c r="V34" s="39">
        <f t="shared" si="51"/>
        <v>0</v>
      </c>
      <c r="W34" s="38"/>
      <c r="X34" s="39">
        <f t="shared" si="52"/>
        <v>0</v>
      </c>
      <c r="Y34" s="38"/>
      <c r="Z34" s="39">
        <f t="shared" si="53"/>
        <v>0</v>
      </c>
      <c r="AA34" s="38"/>
      <c r="AB34" s="39">
        <f t="shared" si="54"/>
        <v>0</v>
      </c>
      <c r="AC34" s="40"/>
      <c r="AD34" s="36"/>
      <c r="AE34" s="37">
        <f t="shared" si="55"/>
        <v>0</v>
      </c>
      <c r="AF34" s="38"/>
      <c r="AG34" s="39">
        <f t="shared" si="56"/>
        <v>0</v>
      </c>
      <c r="AH34" s="38"/>
      <c r="AI34" s="39">
        <f t="shared" si="57"/>
        <v>0</v>
      </c>
      <c r="AJ34" s="38"/>
      <c r="AK34" s="39">
        <f t="shared" si="58"/>
        <v>0</v>
      </c>
      <c r="AL34" s="38"/>
      <c r="AM34" s="39">
        <f t="shared" si="59"/>
        <v>0</v>
      </c>
      <c r="AN34" s="40"/>
      <c r="AO34" s="36">
        <v>1</v>
      </c>
      <c r="AP34" s="37">
        <f t="shared" si="60"/>
        <v>-50575.917680526298</v>
      </c>
      <c r="AQ34" s="38"/>
      <c r="AR34" s="39">
        <f t="shared" si="61"/>
        <v>0</v>
      </c>
      <c r="AS34" s="38">
        <v>1</v>
      </c>
      <c r="AT34" s="39">
        <f t="shared" si="62"/>
        <v>-50575.917680526298</v>
      </c>
      <c r="AU34" s="38"/>
      <c r="AV34" s="39">
        <f t="shared" si="63"/>
        <v>0</v>
      </c>
      <c r="AW34" s="38"/>
      <c r="AX34" s="39">
        <f t="shared" si="64"/>
        <v>0</v>
      </c>
      <c r="AY34" s="40"/>
      <c r="AZ34" s="36"/>
      <c r="BA34" s="37">
        <f t="shared" si="65"/>
        <v>0</v>
      </c>
      <c r="BB34" s="38"/>
      <c r="BC34" s="39">
        <f t="shared" si="66"/>
        <v>0</v>
      </c>
      <c r="BD34" s="38"/>
      <c r="BE34" s="39">
        <f t="shared" si="67"/>
        <v>0</v>
      </c>
      <c r="BF34" s="38"/>
      <c r="BG34" s="39">
        <f t="shared" si="68"/>
        <v>0</v>
      </c>
      <c r="BH34" s="38"/>
      <c r="BI34" s="39">
        <f t="shared" si="69"/>
        <v>0</v>
      </c>
      <c r="BJ34" s="40"/>
      <c r="BK34" s="36"/>
      <c r="BL34" s="37">
        <f t="shared" si="70"/>
        <v>0</v>
      </c>
      <c r="BM34" s="38"/>
      <c r="BN34" s="39">
        <f t="shared" si="71"/>
        <v>0</v>
      </c>
      <c r="BO34" s="38"/>
      <c r="BP34" s="39">
        <f t="shared" si="72"/>
        <v>0</v>
      </c>
      <c r="BQ34" s="38"/>
      <c r="BR34" s="39">
        <f t="shared" si="73"/>
        <v>0</v>
      </c>
      <c r="BS34" s="38"/>
      <c r="BT34" s="39">
        <f t="shared" si="74"/>
        <v>0</v>
      </c>
      <c r="BU34" s="40"/>
      <c r="BV34" s="36"/>
      <c r="BW34" s="37">
        <f t="shared" si="75"/>
        <v>0</v>
      </c>
      <c r="BX34" s="38"/>
      <c r="BY34" s="39">
        <f t="shared" si="76"/>
        <v>0</v>
      </c>
      <c r="BZ34" s="38"/>
      <c r="CA34" s="39">
        <f t="shared" si="77"/>
        <v>0</v>
      </c>
      <c r="CB34" s="38"/>
      <c r="CC34" s="39">
        <f t="shared" si="78"/>
        <v>0</v>
      </c>
      <c r="CD34" s="38"/>
      <c r="CE34" s="39">
        <f t="shared" si="79"/>
        <v>0</v>
      </c>
      <c r="CF34" s="40"/>
      <c r="CG34" s="36"/>
      <c r="CH34" s="37">
        <f t="shared" si="80"/>
        <v>0</v>
      </c>
      <c r="CI34" s="38"/>
      <c r="CJ34" s="39">
        <f t="shared" si="81"/>
        <v>0</v>
      </c>
      <c r="CK34" s="38"/>
      <c r="CL34" s="39">
        <f t="shared" si="82"/>
        <v>0</v>
      </c>
      <c r="CM34" s="38"/>
      <c r="CN34" s="39">
        <f t="shared" si="83"/>
        <v>0</v>
      </c>
      <c r="CO34" s="38"/>
      <c r="CP34" s="39">
        <f t="shared" si="84"/>
        <v>0</v>
      </c>
      <c r="CQ34" s="41">
        <f t="shared" si="85"/>
        <v>-50575.917680526298</v>
      </c>
      <c r="CR34" s="41">
        <f t="shared" si="86"/>
        <v>-50575.917680526298</v>
      </c>
      <c r="CS34" s="41">
        <f t="shared" si="42"/>
        <v>-50575.917680526298</v>
      </c>
      <c r="CT34" s="16">
        <f t="shared" si="87"/>
        <v>0</v>
      </c>
    </row>
    <row r="35" spans="1:98" x14ac:dyDescent="0.25">
      <c r="B35" s="46" t="s">
        <v>37</v>
      </c>
      <c r="C35" s="42" t="s">
        <v>36</v>
      </c>
      <c r="D35" s="53">
        <v>1223534.54</v>
      </c>
      <c r="E35" s="47">
        <v>-0.37018461538461545</v>
      </c>
      <c r="F35" s="34">
        <v>-452933.66309969238</v>
      </c>
      <c r="G35" s="40"/>
      <c r="H35" s="36"/>
      <c r="I35" s="37">
        <f t="shared" si="45"/>
        <v>0</v>
      </c>
      <c r="J35" s="38"/>
      <c r="K35" s="39">
        <f t="shared" si="46"/>
        <v>0</v>
      </c>
      <c r="L35" s="38"/>
      <c r="M35" s="39">
        <f t="shared" si="47"/>
        <v>0</v>
      </c>
      <c r="N35" s="38"/>
      <c r="O35" s="39">
        <f t="shared" si="48"/>
        <v>0</v>
      </c>
      <c r="P35" s="38"/>
      <c r="Q35" s="39">
        <f t="shared" si="49"/>
        <v>0</v>
      </c>
      <c r="R35" s="40"/>
      <c r="S35" s="36"/>
      <c r="T35" s="37">
        <f t="shared" si="50"/>
        <v>0</v>
      </c>
      <c r="U35" s="38"/>
      <c r="V35" s="39">
        <f t="shared" si="51"/>
        <v>0</v>
      </c>
      <c r="W35" s="38"/>
      <c r="X35" s="39">
        <f t="shared" si="52"/>
        <v>0</v>
      </c>
      <c r="Y35" s="38"/>
      <c r="Z35" s="39">
        <f t="shared" si="53"/>
        <v>0</v>
      </c>
      <c r="AA35" s="38"/>
      <c r="AB35" s="39">
        <f t="shared" si="54"/>
        <v>0</v>
      </c>
      <c r="AC35" s="40"/>
      <c r="AD35" s="36"/>
      <c r="AE35" s="37">
        <f t="shared" si="55"/>
        <v>0</v>
      </c>
      <c r="AF35" s="38"/>
      <c r="AG35" s="39">
        <f t="shared" si="56"/>
        <v>0</v>
      </c>
      <c r="AH35" s="38"/>
      <c r="AI35" s="39">
        <f t="shared" si="57"/>
        <v>0</v>
      </c>
      <c r="AJ35" s="38"/>
      <c r="AK35" s="39">
        <f t="shared" si="58"/>
        <v>0</v>
      </c>
      <c r="AL35" s="38"/>
      <c r="AM35" s="39">
        <f t="shared" si="59"/>
        <v>0</v>
      </c>
      <c r="AN35" s="40"/>
      <c r="AO35" s="36">
        <v>0.2</v>
      </c>
      <c r="AP35" s="37">
        <f t="shared" si="60"/>
        <v>-90586.732619938484</v>
      </c>
      <c r="AQ35" s="38"/>
      <c r="AR35" s="39">
        <f t="shared" si="61"/>
        <v>0</v>
      </c>
      <c r="AS35" s="38">
        <v>1</v>
      </c>
      <c r="AT35" s="39">
        <f t="shared" si="62"/>
        <v>-90586.732619938484</v>
      </c>
      <c r="AU35" s="38"/>
      <c r="AV35" s="39">
        <f t="shared" si="63"/>
        <v>0</v>
      </c>
      <c r="AW35" s="38"/>
      <c r="AX35" s="39">
        <f t="shared" si="64"/>
        <v>0</v>
      </c>
      <c r="AY35" s="40"/>
      <c r="AZ35" s="36"/>
      <c r="BA35" s="37">
        <f t="shared" si="65"/>
        <v>0</v>
      </c>
      <c r="BB35" s="38"/>
      <c r="BC35" s="39">
        <f t="shared" si="66"/>
        <v>0</v>
      </c>
      <c r="BD35" s="38"/>
      <c r="BE35" s="39">
        <f t="shared" si="67"/>
        <v>0</v>
      </c>
      <c r="BF35" s="38"/>
      <c r="BG35" s="39">
        <f t="shared" si="68"/>
        <v>0</v>
      </c>
      <c r="BH35" s="38"/>
      <c r="BI35" s="39">
        <f t="shared" si="69"/>
        <v>0</v>
      </c>
      <c r="BJ35" s="40"/>
      <c r="BK35" s="36">
        <v>0.8</v>
      </c>
      <c r="BL35" s="37">
        <f t="shared" si="70"/>
        <v>-362346.93047975394</v>
      </c>
      <c r="BM35" s="38"/>
      <c r="BN35" s="39">
        <f t="shared" si="71"/>
        <v>0</v>
      </c>
      <c r="BO35" s="38">
        <v>1</v>
      </c>
      <c r="BP35" s="39">
        <f t="shared" si="72"/>
        <v>-362346.93047975394</v>
      </c>
      <c r="BQ35" s="38"/>
      <c r="BR35" s="39">
        <f t="shared" si="73"/>
        <v>0</v>
      </c>
      <c r="BS35" s="38"/>
      <c r="BT35" s="39">
        <f t="shared" si="74"/>
        <v>0</v>
      </c>
      <c r="BU35" s="40"/>
      <c r="BV35" s="36"/>
      <c r="BW35" s="37">
        <f t="shared" si="75"/>
        <v>0</v>
      </c>
      <c r="BX35" s="38"/>
      <c r="BY35" s="39">
        <f t="shared" si="76"/>
        <v>0</v>
      </c>
      <c r="BZ35" s="38"/>
      <c r="CA35" s="39">
        <f t="shared" si="77"/>
        <v>0</v>
      </c>
      <c r="CB35" s="38"/>
      <c r="CC35" s="39">
        <f t="shared" si="78"/>
        <v>0</v>
      </c>
      <c r="CD35" s="38"/>
      <c r="CE35" s="39">
        <f t="shared" si="79"/>
        <v>0</v>
      </c>
      <c r="CF35" s="40"/>
      <c r="CG35" s="36"/>
      <c r="CH35" s="37">
        <f t="shared" si="80"/>
        <v>0</v>
      </c>
      <c r="CI35" s="38"/>
      <c r="CJ35" s="39">
        <f t="shared" si="81"/>
        <v>0</v>
      </c>
      <c r="CK35" s="38"/>
      <c r="CL35" s="39">
        <f t="shared" si="82"/>
        <v>0</v>
      </c>
      <c r="CM35" s="38"/>
      <c r="CN35" s="39">
        <f t="shared" si="83"/>
        <v>0</v>
      </c>
      <c r="CO35" s="38"/>
      <c r="CP35" s="39">
        <f t="shared" si="84"/>
        <v>0</v>
      </c>
      <c r="CQ35" s="41">
        <f t="shared" si="85"/>
        <v>-452933.66309969238</v>
      </c>
      <c r="CR35" s="41">
        <f t="shared" si="86"/>
        <v>-452933.66309969244</v>
      </c>
      <c r="CS35" s="41">
        <f t="shared" si="42"/>
        <v>-452933.66309969244</v>
      </c>
      <c r="CT35" s="16">
        <f t="shared" si="87"/>
        <v>0</v>
      </c>
    </row>
    <row r="36" spans="1:98" x14ac:dyDescent="0.25">
      <c r="B36" s="46" t="s">
        <v>38</v>
      </c>
      <c r="C36" s="42" t="s">
        <v>36</v>
      </c>
      <c r="D36" s="53">
        <v>172734.288</v>
      </c>
      <c r="E36" s="47">
        <v>-0.18394000674081565</v>
      </c>
      <c r="F36" s="34">
        <v>-31772.746099089993</v>
      </c>
      <c r="G36" s="40"/>
      <c r="H36" s="36"/>
      <c r="I36" s="37">
        <f t="shared" si="45"/>
        <v>0</v>
      </c>
      <c r="J36" s="38"/>
      <c r="K36" s="39">
        <f t="shared" si="46"/>
        <v>0</v>
      </c>
      <c r="L36" s="38"/>
      <c r="M36" s="39">
        <f t="shared" si="47"/>
        <v>0</v>
      </c>
      <c r="N36" s="38"/>
      <c r="O36" s="39">
        <f t="shared" si="48"/>
        <v>0</v>
      </c>
      <c r="P36" s="38"/>
      <c r="Q36" s="39">
        <f t="shared" si="49"/>
        <v>0</v>
      </c>
      <c r="R36" s="40"/>
      <c r="S36" s="36"/>
      <c r="T36" s="37">
        <f t="shared" si="50"/>
        <v>0</v>
      </c>
      <c r="U36" s="38"/>
      <c r="V36" s="39">
        <f t="shared" si="51"/>
        <v>0</v>
      </c>
      <c r="W36" s="38"/>
      <c r="X36" s="39">
        <f t="shared" si="52"/>
        <v>0</v>
      </c>
      <c r="Y36" s="38"/>
      <c r="Z36" s="39">
        <f t="shared" si="53"/>
        <v>0</v>
      </c>
      <c r="AA36" s="38"/>
      <c r="AB36" s="39">
        <f t="shared" si="54"/>
        <v>0</v>
      </c>
      <c r="AC36" s="40"/>
      <c r="AD36" s="36"/>
      <c r="AE36" s="37">
        <f t="shared" si="55"/>
        <v>0</v>
      </c>
      <c r="AF36" s="38"/>
      <c r="AG36" s="39">
        <f t="shared" si="56"/>
        <v>0</v>
      </c>
      <c r="AH36" s="38"/>
      <c r="AI36" s="39">
        <f t="shared" si="57"/>
        <v>0</v>
      </c>
      <c r="AJ36" s="38"/>
      <c r="AK36" s="39">
        <f t="shared" si="58"/>
        <v>0</v>
      </c>
      <c r="AL36" s="38"/>
      <c r="AM36" s="39">
        <f t="shared" si="59"/>
        <v>0</v>
      </c>
      <c r="AN36" s="40"/>
      <c r="AO36" s="36">
        <v>1</v>
      </c>
      <c r="AP36" s="37">
        <f t="shared" si="60"/>
        <v>-31772.746099089993</v>
      </c>
      <c r="AQ36" s="38"/>
      <c r="AR36" s="39">
        <f t="shared" si="61"/>
        <v>0</v>
      </c>
      <c r="AS36" s="38">
        <v>1</v>
      </c>
      <c r="AT36" s="39">
        <f t="shared" si="62"/>
        <v>-31772.746099089993</v>
      </c>
      <c r="AU36" s="38"/>
      <c r="AV36" s="39">
        <f t="shared" si="63"/>
        <v>0</v>
      </c>
      <c r="AW36" s="38"/>
      <c r="AX36" s="39">
        <f t="shared" si="64"/>
        <v>0</v>
      </c>
      <c r="AY36" s="40"/>
      <c r="AZ36" s="36"/>
      <c r="BA36" s="37">
        <f t="shared" si="65"/>
        <v>0</v>
      </c>
      <c r="BB36" s="38"/>
      <c r="BC36" s="39">
        <f t="shared" si="66"/>
        <v>0</v>
      </c>
      <c r="BD36" s="38"/>
      <c r="BE36" s="39">
        <f t="shared" si="67"/>
        <v>0</v>
      </c>
      <c r="BF36" s="38"/>
      <c r="BG36" s="39">
        <f t="shared" si="68"/>
        <v>0</v>
      </c>
      <c r="BH36" s="38"/>
      <c r="BI36" s="39">
        <f t="shared" si="69"/>
        <v>0</v>
      </c>
      <c r="BJ36" s="40"/>
      <c r="BK36" s="36"/>
      <c r="BL36" s="37">
        <f t="shared" si="70"/>
        <v>0</v>
      </c>
      <c r="BM36" s="38"/>
      <c r="BN36" s="39">
        <f t="shared" si="71"/>
        <v>0</v>
      </c>
      <c r="BO36" s="38"/>
      <c r="BP36" s="39">
        <f t="shared" si="72"/>
        <v>0</v>
      </c>
      <c r="BQ36" s="38"/>
      <c r="BR36" s="39">
        <f t="shared" si="73"/>
        <v>0</v>
      </c>
      <c r="BS36" s="38"/>
      <c r="BT36" s="39">
        <f t="shared" si="74"/>
        <v>0</v>
      </c>
      <c r="BU36" s="40"/>
      <c r="BV36" s="36"/>
      <c r="BW36" s="37">
        <f t="shared" si="75"/>
        <v>0</v>
      </c>
      <c r="BX36" s="38"/>
      <c r="BY36" s="39">
        <f t="shared" si="76"/>
        <v>0</v>
      </c>
      <c r="BZ36" s="38"/>
      <c r="CA36" s="39">
        <f t="shared" si="77"/>
        <v>0</v>
      </c>
      <c r="CB36" s="38"/>
      <c r="CC36" s="39">
        <f t="shared" si="78"/>
        <v>0</v>
      </c>
      <c r="CD36" s="38"/>
      <c r="CE36" s="39">
        <f t="shared" si="79"/>
        <v>0</v>
      </c>
      <c r="CF36" s="40"/>
      <c r="CG36" s="36"/>
      <c r="CH36" s="37">
        <f t="shared" si="80"/>
        <v>0</v>
      </c>
      <c r="CI36" s="38"/>
      <c r="CJ36" s="39">
        <f t="shared" si="81"/>
        <v>0</v>
      </c>
      <c r="CK36" s="38"/>
      <c r="CL36" s="39">
        <f t="shared" si="82"/>
        <v>0</v>
      </c>
      <c r="CM36" s="38"/>
      <c r="CN36" s="39">
        <f t="shared" si="83"/>
        <v>0</v>
      </c>
      <c r="CO36" s="38"/>
      <c r="CP36" s="39">
        <f t="shared" si="84"/>
        <v>0</v>
      </c>
      <c r="CQ36" s="41">
        <f t="shared" si="85"/>
        <v>-31772.746099089993</v>
      </c>
      <c r="CR36" s="41">
        <f t="shared" si="86"/>
        <v>-31772.746099089993</v>
      </c>
      <c r="CS36" s="41">
        <f t="shared" si="42"/>
        <v>-31772.746099089993</v>
      </c>
      <c r="CT36" s="16">
        <f t="shared" si="87"/>
        <v>0</v>
      </c>
    </row>
    <row r="37" spans="1:98" x14ac:dyDescent="0.25">
      <c r="B37" s="46" t="s">
        <v>39</v>
      </c>
      <c r="C37" s="42" t="s">
        <v>40</v>
      </c>
      <c r="D37" s="53">
        <v>799.99999999999989</v>
      </c>
      <c r="E37" s="34">
        <v>105</v>
      </c>
      <c r="F37" s="34">
        <v>83999.999999999985</v>
      </c>
      <c r="G37" s="40"/>
      <c r="H37" s="36"/>
      <c r="I37" s="37">
        <f t="shared" si="45"/>
        <v>0</v>
      </c>
      <c r="J37" s="38"/>
      <c r="K37" s="39">
        <f t="shared" si="46"/>
        <v>0</v>
      </c>
      <c r="L37" s="38"/>
      <c r="M37" s="39">
        <f t="shared" si="47"/>
        <v>0</v>
      </c>
      <c r="N37" s="38"/>
      <c r="O37" s="39">
        <f t="shared" si="48"/>
        <v>0</v>
      </c>
      <c r="P37" s="38"/>
      <c r="Q37" s="39">
        <f t="shared" si="49"/>
        <v>0</v>
      </c>
      <c r="R37" s="40"/>
      <c r="S37" s="36"/>
      <c r="T37" s="37">
        <f t="shared" si="50"/>
        <v>0</v>
      </c>
      <c r="U37" s="38"/>
      <c r="V37" s="39">
        <f t="shared" si="51"/>
        <v>0</v>
      </c>
      <c r="W37" s="38"/>
      <c r="X37" s="39">
        <f t="shared" si="52"/>
        <v>0</v>
      </c>
      <c r="Y37" s="38"/>
      <c r="Z37" s="39">
        <f t="shared" si="53"/>
        <v>0</v>
      </c>
      <c r="AA37" s="38"/>
      <c r="AB37" s="39">
        <f t="shared" si="54"/>
        <v>0</v>
      </c>
      <c r="AC37" s="40"/>
      <c r="AD37" s="36">
        <v>1</v>
      </c>
      <c r="AE37" s="37">
        <f t="shared" si="55"/>
        <v>83999.999999999985</v>
      </c>
      <c r="AF37" s="38"/>
      <c r="AG37" s="39">
        <f t="shared" si="56"/>
        <v>0</v>
      </c>
      <c r="AH37" s="38">
        <v>1</v>
      </c>
      <c r="AI37" s="39">
        <f t="shared" si="57"/>
        <v>83999.999999999985</v>
      </c>
      <c r="AJ37" s="38"/>
      <c r="AK37" s="39">
        <f t="shared" si="58"/>
        <v>0</v>
      </c>
      <c r="AL37" s="38"/>
      <c r="AM37" s="39">
        <f t="shared" si="59"/>
        <v>0</v>
      </c>
      <c r="AN37" s="40"/>
      <c r="AO37" s="36"/>
      <c r="AP37" s="37">
        <f t="shared" si="60"/>
        <v>0</v>
      </c>
      <c r="AQ37" s="38"/>
      <c r="AR37" s="39">
        <f t="shared" si="61"/>
        <v>0</v>
      </c>
      <c r="AS37" s="38"/>
      <c r="AT37" s="39">
        <f t="shared" si="62"/>
        <v>0</v>
      </c>
      <c r="AU37" s="38"/>
      <c r="AV37" s="39">
        <f t="shared" si="63"/>
        <v>0</v>
      </c>
      <c r="AW37" s="38"/>
      <c r="AX37" s="39">
        <f t="shared" si="64"/>
        <v>0</v>
      </c>
      <c r="AY37" s="40"/>
      <c r="AZ37" s="36"/>
      <c r="BA37" s="37">
        <f t="shared" si="65"/>
        <v>0</v>
      </c>
      <c r="BB37" s="38"/>
      <c r="BC37" s="39">
        <f t="shared" si="66"/>
        <v>0</v>
      </c>
      <c r="BD37" s="38"/>
      <c r="BE37" s="39">
        <f t="shared" si="67"/>
        <v>0</v>
      </c>
      <c r="BF37" s="38"/>
      <c r="BG37" s="39">
        <f t="shared" si="68"/>
        <v>0</v>
      </c>
      <c r="BH37" s="38"/>
      <c r="BI37" s="39">
        <f t="shared" si="69"/>
        <v>0</v>
      </c>
      <c r="BJ37" s="40"/>
      <c r="BK37" s="36"/>
      <c r="BL37" s="37">
        <f t="shared" si="70"/>
        <v>0</v>
      </c>
      <c r="BM37" s="38"/>
      <c r="BN37" s="39">
        <f t="shared" si="71"/>
        <v>0</v>
      </c>
      <c r="BO37" s="38"/>
      <c r="BP37" s="39">
        <f t="shared" si="72"/>
        <v>0</v>
      </c>
      <c r="BQ37" s="38"/>
      <c r="BR37" s="39">
        <f t="shared" si="73"/>
        <v>0</v>
      </c>
      <c r="BS37" s="38"/>
      <c r="BT37" s="39">
        <f t="shared" si="74"/>
        <v>0</v>
      </c>
      <c r="BU37" s="40"/>
      <c r="BV37" s="36"/>
      <c r="BW37" s="37">
        <f t="shared" si="75"/>
        <v>0</v>
      </c>
      <c r="BX37" s="38"/>
      <c r="BY37" s="39">
        <f t="shared" si="76"/>
        <v>0</v>
      </c>
      <c r="BZ37" s="38"/>
      <c r="CA37" s="39">
        <f t="shared" si="77"/>
        <v>0</v>
      </c>
      <c r="CB37" s="38"/>
      <c r="CC37" s="39">
        <f t="shared" si="78"/>
        <v>0</v>
      </c>
      <c r="CD37" s="38"/>
      <c r="CE37" s="39">
        <f t="shared" si="79"/>
        <v>0</v>
      </c>
      <c r="CF37" s="40"/>
      <c r="CG37" s="36"/>
      <c r="CH37" s="37">
        <f t="shared" si="80"/>
        <v>0</v>
      </c>
      <c r="CI37" s="38"/>
      <c r="CJ37" s="39">
        <f t="shared" si="81"/>
        <v>0</v>
      </c>
      <c r="CK37" s="38"/>
      <c r="CL37" s="39">
        <f t="shared" si="82"/>
        <v>0</v>
      </c>
      <c r="CM37" s="38"/>
      <c r="CN37" s="39">
        <f t="shared" si="83"/>
        <v>0</v>
      </c>
      <c r="CO37" s="38"/>
      <c r="CP37" s="39">
        <f t="shared" si="84"/>
        <v>0</v>
      </c>
      <c r="CQ37" s="41">
        <f t="shared" si="85"/>
        <v>83999.999999999985</v>
      </c>
      <c r="CR37" s="41">
        <f t="shared" si="86"/>
        <v>83999.999999999985</v>
      </c>
      <c r="CS37" s="41">
        <f t="shared" si="42"/>
        <v>83999.999999999985</v>
      </c>
      <c r="CT37" s="16">
        <f t="shared" si="87"/>
        <v>0</v>
      </c>
    </row>
    <row r="38" spans="1:98" x14ac:dyDescent="0.25">
      <c r="B38" s="48" t="s">
        <v>192</v>
      </c>
      <c r="C38" s="42" t="s">
        <v>36</v>
      </c>
      <c r="D38" s="53">
        <v>180000</v>
      </c>
      <c r="E38" s="47">
        <v>-1.5825</v>
      </c>
      <c r="F38" s="34">
        <v>-284850</v>
      </c>
      <c r="G38" s="40"/>
      <c r="H38" s="36"/>
      <c r="I38" s="37">
        <f t="shared" si="45"/>
        <v>0</v>
      </c>
      <c r="J38" s="38"/>
      <c r="K38" s="39">
        <f t="shared" si="46"/>
        <v>0</v>
      </c>
      <c r="L38" s="38"/>
      <c r="M38" s="39">
        <f t="shared" si="47"/>
        <v>0</v>
      </c>
      <c r="N38" s="38"/>
      <c r="O38" s="39">
        <f t="shared" si="48"/>
        <v>0</v>
      </c>
      <c r="P38" s="38"/>
      <c r="Q38" s="39">
        <f t="shared" si="49"/>
        <v>0</v>
      </c>
      <c r="R38" s="40"/>
      <c r="S38" s="36"/>
      <c r="T38" s="37">
        <f t="shared" si="50"/>
        <v>0</v>
      </c>
      <c r="U38" s="38"/>
      <c r="V38" s="39">
        <f t="shared" si="51"/>
        <v>0</v>
      </c>
      <c r="W38" s="38"/>
      <c r="X38" s="39">
        <f t="shared" si="52"/>
        <v>0</v>
      </c>
      <c r="Y38" s="38"/>
      <c r="Z38" s="39">
        <f t="shared" si="53"/>
        <v>0</v>
      </c>
      <c r="AA38" s="38"/>
      <c r="AB38" s="39">
        <f t="shared" si="54"/>
        <v>0</v>
      </c>
      <c r="AC38" s="40"/>
      <c r="AD38" s="36"/>
      <c r="AE38" s="37">
        <f t="shared" si="55"/>
        <v>0</v>
      </c>
      <c r="AF38" s="38"/>
      <c r="AG38" s="39">
        <f t="shared" si="56"/>
        <v>0</v>
      </c>
      <c r="AH38" s="38"/>
      <c r="AI38" s="39">
        <f t="shared" si="57"/>
        <v>0</v>
      </c>
      <c r="AJ38" s="38"/>
      <c r="AK38" s="39">
        <f t="shared" si="58"/>
        <v>0</v>
      </c>
      <c r="AL38" s="38"/>
      <c r="AM38" s="39">
        <f t="shared" si="59"/>
        <v>0</v>
      </c>
      <c r="AN38" s="40"/>
      <c r="AO38" s="36">
        <v>0.1</v>
      </c>
      <c r="AP38" s="37">
        <f t="shared" si="60"/>
        <v>-28485</v>
      </c>
      <c r="AQ38" s="38"/>
      <c r="AR38" s="39">
        <f t="shared" si="61"/>
        <v>0</v>
      </c>
      <c r="AS38" s="38">
        <v>1</v>
      </c>
      <c r="AT38" s="39">
        <f t="shared" si="62"/>
        <v>-28485</v>
      </c>
      <c r="AU38" s="38"/>
      <c r="AV38" s="39">
        <f t="shared" si="63"/>
        <v>0</v>
      </c>
      <c r="AW38" s="38"/>
      <c r="AX38" s="39">
        <f t="shared" si="64"/>
        <v>0</v>
      </c>
      <c r="AY38" s="40"/>
      <c r="AZ38" s="36">
        <v>0.9</v>
      </c>
      <c r="BA38" s="37">
        <f t="shared" si="65"/>
        <v>-256365</v>
      </c>
      <c r="BB38" s="38"/>
      <c r="BC38" s="39">
        <f t="shared" si="66"/>
        <v>0</v>
      </c>
      <c r="BD38" s="38">
        <v>1</v>
      </c>
      <c r="BE38" s="39">
        <f t="shared" si="67"/>
        <v>-256365</v>
      </c>
      <c r="BF38" s="38"/>
      <c r="BG38" s="39">
        <f t="shared" si="68"/>
        <v>0</v>
      </c>
      <c r="BH38" s="38"/>
      <c r="BI38" s="39">
        <f t="shared" si="69"/>
        <v>0</v>
      </c>
      <c r="BJ38" s="40"/>
      <c r="BK38" s="36"/>
      <c r="BL38" s="37">
        <f t="shared" si="70"/>
        <v>0</v>
      </c>
      <c r="BM38" s="38"/>
      <c r="BN38" s="39">
        <f t="shared" si="71"/>
        <v>0</v>
      </c>
      <c r="BO38" s="38"/>
      <c r="BP38" s="39">
        <f t="shared" si="72"/>
        <v>0</v>
      </c>
      <c r="BQ38" s="38"/>
      <c r="BR38" s="39">
        <f t="shared" si="73"/>
        <v>0</v>
      </c>
      <c r="BS38" s="38"/>
      <c r="BT38" s="39">
        <f t="shared" si="74"/>
        <v>0</v>
      </c>
      <c r="BU38" s="40"/>
      <c r="BV38" s="36"/>
      <c r="BW38" s="37">
        <f t="shared" si="75"/>
        <v>0</v>
      </c>
      <c r="BX38" s="38"/>
      <c r="BY38" s="39">
        <f t="shared" si="76"/>
        <v>0</v>
      </c>
      <c r="BZ38" s="38"/>
      <c r="CA38" s="39">
        <f t="shared" si="77"/>
        <v>0</v>
      </c>
      <c r="CB38" s="38"/>
      <c r="CC38" s="39">
        <f t="shared" si="78"/>
        <v>0</v>
      </c>
      <c r="CD38" s="38"/>
      <c r="CE38" s="39">
        <f t="shared" si="79"/>
        <v>0</v>
      </c>
      <c r="CF38" s="40"/>
      <c r="CG38" s="36"/>
      <c r="CH38" s="37">
        <f t="shared" si="80"/>
        <v>0</v>
      </c>
      <c r="CI38" s="38"/>
      <c r="CJ38" s="39">
        <f t="shared" si="81"/>
        <v>0</v>
      </c>
      <c r="CK38" s="38"/>
      <c r="CL38" s="39">
        <f t="shared" si="82"/>
        <v>0</v>
      </c>
      <c r="CM38" s="38"/>
      <c r="CN38" s="39">
        <f t="shared" si="83"/>
        <v>0</v>
      </c>
      <c r="CO38" s="38"/>
      <c r="CP38" s="39">
        <f t="shared" si="84"/>
        <v>0</v>
      </c>
      <c r="CQ38" s="41">
        <f t="shared" si="85"/>
        <v>-284850</v>
      </c>
      <c r="CR38" s="41">
        <f t="shared" si="86"/>
        <v>-284850</v>
      </c>
      <c r="CS38" s="41">
        <f t="shared" si="42"/>
        <v>-284850</v>
      </c>
      <c r="CT38" s="16">
        <f t="shared" si="87"/>
        <v>0</v>
      </c>
    </row>
    <row r="39" spans="1:98" x14ac:dyDescent="0.25">
      <c r="A39" s="2"/>
      <c r="B39" s="51" t="s">
        <v>41</v>
      </c>
      <c r="C39" s="42" t="s">
        <v>33</v>
      </c>
      <c r="D39" s="53">
        <v>323.87678999999997</v>
      </c>
      <c r="E39" s="34">
        <v>65</v>
      </c>
      <c r="F39" s="34">
        <v>21051.991349999997</v>
      </c>
      <c r="G39" s="40"/>
      <c r="H39" s="36"/>
      <c r="I39" s="37">
        <f t="shared" si="45"/>
        <v>0</v>
      </c>
      <c r="J39" s="38"/>
      <c r="K39" s="39">
        <f t="shared" si="46"/>
        <v>0</v>
      </c>
      <c r="L39" s="38"/>
      <c r="M39" s="39">
        <f t="shared" si="47"/>
        <v>0</v>
      </c>
      <c r="N39" s="38"/>
      <c r="O39" s="39">
        <f t="shared" si="48"/>
        <v>0</v>
      </c>
      <c r="P39" s="38"/>
      <c r="Q39" s="39">
        <f t="shared" si="49"/>
        <v>0</v>
      </c>
      <c r="R39" s="40"/>
      <c r="S39" s="36">
        <v>0.14285714285714288</v>
      </c>
      <c r="T39" s="37">
        <f t="shared" si="50"/>
        <v>3007.4273357142856</v>
      </c>
      <c r="U39" s="38"/>
      <c r="V39" s="39">
        <f t="shared" si="51"/>
        <v>0</v>
      </c>
      <c r="W39" s="38">
        <v>1</v>
      </c>
      <c r="X39" s="39">
        <f t="shared" si="52"/>
        <v>3007.4273357142856</v>
      </c>
      <c r="Y39" s="38"/>
      <c r="Z39" s="39">
        <f t="shared" si="53"/>
        <v>0</v>
      </c>
      <c r="AA39" s="38"/>
      <c r="AB39" s="39">
        <f t="shared" si="54"/>
        <v>0</v>
      </c>
      <c r="AC39" s="40"/>
      <c r="AD39" s="36">
        <v>0.14285714285714288</v>
      </c>
      <c r="AE39" s="37">
        <f t="shared" si="55"/>
        <v>3007.4273357142856</v>
      </c>
      <c r="AF39" s="38"/>
      <c r="AG39" s="39">
        <f t="shared" si="56"/>
        <v>0</v>
      </c>
      <c r="AH39" s="38">
        <v>1</v>
      </c>
      <c r="AI39" s="39">
        <f t="shared" si="57"/>
        <v>3007.4273357142856</v>
      </c>
      <c r="AJ39" s="38"/>
      <c r="AK39" s="39">
        <f t="shared" si="58"/>
        <v>0</v>
      </c>
      <c r="AL39" s="38"/>
      <c r="AM39" s="39">
        <f t="shared" si="59"/>
        <v>0</v>
      </c>
      <c r="AN39" s="40"/>
      <c r="AO39" s="36">
        <v>0.14285714285714288</v>
      </c>
      <c r="AP39" s="37">
        <f t="shared" si="60"/>
        <v>3007.4273357142856</v>
      </c>
      <c r="AQ39" s="38"/>
      <c r="AR39" s="39">
        <f t="shared" si="61"/>
        <v>0</v>
      </c>
      <c r="AS39" s="38">
        <v>1</v>
      </c>
      <c r="AT39" s="39">
        <f t="shared" si="62"/>
        <v>3007.4273357142856</v>
      </c>
      <c r="AU39" s="38"/>
      <c r="AV39" s="39">
        <f t="shared" si="63"/>
        <v>0</v>
      </c>
      <c r="AW39" s="38"/>
      <c r="AX39" s="39">
        <f t="shared" si="64"/>
        <v>0</v>
      </c>
      <c r="AY39" s="40"/>
      <c r="AZ39" s="36">
        <v>0.14285714285714288</v>
      </c>
      <c r="BA39" s="37">
        <f t="shared" si="65"/>
        <v>3007.4273357142856</v>
      </c>
      <c r="BB39" s="38"/>
      <c r="BC39" s="39">
        <f t="shared" si="66"/>
        <v>0</v>
      </c>
      <c r="BD39" s="38">
        <v>1</v>
      </c>
      <c r="BE39" s="39">
        <f t="shared" si="67"/>
        <v>3007.4273357142856</v>
      </c>
      <c r="BF39" s="38"/>
      <c r="BG39" s="39">
        <f t="shared" si="68"/>
        <v>0</v>
      </c>
      <c r="BH39" s="38"/>
      <c r="BI39" s="39">
        <f t="shared" si="69"/>
        <v>0</v>
      </c>
      <c r="BJ39" s="40"/>
      <c r="BK39" s="36">
        <v>0.14285714285714288</v>
      </c>
      <c r="BL39" s="37">
        <f t="shared" si="70"/>
        <v>3007.4273357142856</v>
      </c>
      <c r="BM39" s="38"/>
      <c r="BN39" s="39">
        <f t="shared" si="71"/>
        <v>0</v>
      </c>
      <c r="BO39" s="38">
        <v>1</v>
      </c>
      <c r="BP39" s="39">
        <f t="shared" si="72"/>
        <v>3007.4273357142856</v>
      </c>
      <c r="BQ39" s="38"/>
      <c r="BR39" s="39">
        <f t="shared" si="73"/>
        <v>0</v>
      </c>
      <c r="BS39" s="38"/>
      <c r="BT39" s="39">
        <f t="shared" si="74"/>
        <v>0</v>
      </c>
      <c r="BU39" s="40"/>
      <c r="BV39" s="36">
        <v>0.14285714285714288</v>
      </c>
      <c r="BW39" s="37">
        <f t="shared" si="75"/>
        <v>3007.4273357142856</v>
      </c>
      <c r="BX39" s="38"/>
      <c r="BY39" s="39">
        <f t="shared" si="76"/>
        <v>0</v>
      </c>
      <c r="BZ39" s="38">
        <v>1</v>
      </c>
      <c r="CA39" s="39">
        <f t="shared" si="77"/>
        <v>3007.4273357142856</v>
      </c>
      <c r="CB39" s="38"/>
      <c r="CC39" s="39">
        <f t="shared" si="78"/>
        <v>0</v>
      </c>
      <c r="CD39" s="38"/>
      <c r="CE39" s="39">
        <f t="shared" si="79"/>
        <v>0</v>
      </c>
      <c r="CF39" s="40"/>
      <c r="CG39" s="36">
        <v>0.14285714285714288</v>
      </c>
      <c r="CH39" s="37">
        <f t="shared" si="80"/>
        <v>3007.4273357142856</v>
      </c>
      <c r="CI39" s="38"/>
      <c r="CJ39" s="39">
        <f t="shared" si="81"/>
        <v>0</v>
      </c>
      <c r="CK39" s="38">
        <v>1</v>
      </c>
      <c r="CL39" s="39">
        <f t="shared" si="82"/>
        <v>3007.4273357142856</v>
      </c>
      <c r="CM39" s="38"/>
      <c r="CN39" s="39">
        <f t="shared" si="83"/>
        <v>0</v>
      </c>
      <c r="CO39" s="38"/>
      <c r="CP39" s="39">
        <f t="shared" si="84"/>
        <v>0</v>
      </c>
      <c r="CQ39" s="41">
        <f t="shared" si="85"/>
        <v>21051.991349999997</v>
      </c>
      <c r="CR39" s="41">
        <f t="shared" si="86"/>
        <v>21051.991349999997</v>
      </c>
      <c r="CS39" s="41">
        <f t="shared" si="42"/>
        <v>21051.991349999997</v>
      </c>
      <c r="CT39" s="16">
        <f t="shared" si="87"/>
        <v>0</v>
      </c>
    </row>
    <row r="40" spans="1:98" x14ac:dyDescent="0.25">
      <c r="B40" s="48" t="s">
        <v>43</v>
      </c>
      <c r="C40" s="42" t="s">
        <v>33</v>
      </c>
      <c r="D40" s="53">
        <v>15000</v>
      </c>
      <c r="E40" s="34">
        <v>15</v>
      </c>
      <c r="F40" s="34">
        <v>225000</v>
      </c>
      <c r="G40" s="40"/>
      <c r="H40" s="36"/>
      <c r="I40" s="37">
        <f t="shared" si="45"/>
        <v>0</v>
      </c>
      <c r="J40" s="38"/>
      <c r="K40" s="39">
        <f t="shared" si="46"/>
        <v>0</v>
      </c>
      <c r="L40" s="38"/>
      <c r="M40" s="39">
        <f t="shared" si="47"/>
        <v>0</v>
      </c>
      <c r="N40" s="38"/>
      <c r="O40" s="39">
        <f t="shared" si="48"/>
        <v>0</v>
      </c>
      <c r="P40" s="38"/>
      <c r="Q40" s="39">
        <f t="shared" si="49"/>
        <v>0</v>
      </c>
      <c r="R40" s="40"/>
      <c r="S40" s="36">
        <v>1</v>
      </c>
      <c r="T40" s="37">
        <f t="shared" si="50"/>
        <v>225000</v>
      </c>
      <c r="U40" s="38"/>
      <c r="V40" s="39">
        <f t="shared" si="51"/>
        <v>0</v>
      </c>
      <c r="W40" s="38">
        <v>1</v>
      </c>
      <c r="X40" s="39">
        <f t="shared" si="52"/>
        <v>225000</v>
      </c>
      <c r="Y40" s="38"/>
      <c r="Z40" s="39">
        <f t="shared" si="53"/>
        <v>0</v>
      </c>
      <c r="AA40" s="38"/>
      <c r="AB40" s="39">
        <f t="shared" si="54"/>
        <v>0</v>
      </c>
      <c r="AC40" s="40"/>
      <c r="AD40" s="36"/>
      <c r="AE40" s="37">
        <f t="shared" si="55"/>
        <v>0</v>
      </c>
      <c r="AF40" s="38"/>
      <c r="AG40" s="39">
        <f t="shared" si="56"/>
        <v>0</v>
      </c>
      <c r="AH40" s="38"/>
      <c r="AI40" s="39">
        <f t="shared" si="57"/>
        <v>0</v>
      </c>
      <c r="AJ40" s="38"/>
      <c r="AK40" s="39">
        <f t="shared" si="58"/>
        <v>0</v>
      </c>
      <c r="AL40" s="38"/>
      <c r="AM40" s="39">
        <f t="shared" si="59"/>
        <v>0</v>
      </c>
      <c r="AN40" s="40"/>
      <c r="AO40" s="36"/>
      <c r="AP40" s="37">
        <f t="shared" si="60"/>
        <v>0</v>
      </c>
      <c r="AQ40" s="38"/>
      <c r="AR40" s="39">
        <f t="shared" si="61"/>
        <v>0</v>
      </c>
      <c r="AS40" s="38"/>
      <c r="AT40" s="39">
        <f t="shared" si="62"/>
        <v>0</v>
      </c>
      <c r="AU40" s="38"/>
      <c r="AV40" s="39">
        <f t="shared" si="63"/>
        <v>0</v>
      </c>
      <c r="AW40" s="38"/>
      <c r="AX40" s="39">
        <f t="shared" si="64"/>
        <v>0</v>
      </c>
      <c r="AY40" s="40"/>
      <c r="AZ40" s="36"/>
      <c r="BA40" s="37">
        <f t="shared" si="65"/>
        <v>0</v>
      </c>
      <c r="BB40" s="38"/>
      <c r="BC40" s="39">
        <f t="shared" si="66"/>
        <v>0</v>
      </c>
      <c r="BD40" s="38"/>
      <c r="BE40" s="39">
        <f t="shared" si="67"/>
        <v>0</v>
      </c>
      <c r="BF40" s="38"/>
      <c r="BG40" s="39">
        <f t="shared" si="68"/>
        <v>0</v>
      </c>
      <c r="BH40" s="38"/>
      <c r="BI40" s="39">
        <f t="shared" si="69"/>
        <v>0</v>
      </c>
      <c r="BJ40" s="40"/>
      <c r="BK40" s="36"/>
      <c r="BL40" s="37">
        <f t="shared" si="70"/>
        <v>0</v>
      </c>
      <c r="BM40" s="38"/>
      <c r="BN40" s="39">
        <f t="shared" si="71"/>
        <v>0</v>
      </c>
      <c r="BO40" s="38"/>
      <c r="BP40" s="39">
        <f t="shared" si="72"/>
        <v>0</v>
      </c>
      <c r="BQ40" s="38"/>
      <c r="BR40" s="39">
        <f t="shared" si="73"/>
        <v>0</v>
      </c>
      <c r="BS40" s="38"/>
      <c r="BT40" s="39">
        <f t="shared" si="74"/>
        <v>0</v>
      </c>
      <c r="BU40" s="40"/>
      <c r="BV40" s="36"/>
      <c r="BW40" s="37">
        <f t="shared" si="75"/>
        <v>0</v>
      </c>
      <c r="BX40" s="38"/>
      <c r="BY40" s="39">
        <f t="shared" si="76"/>
        <v>0</v>
      </c>
      <c r="BZ40" s="38"/>
      <c r="CA40" s="39">
        <f t="shared" si="77"/>
        <v>0</v>
      </c>
      <c r="CB40" s="38"/>
      <c r="CC40" s="39">
        <f t="shared" si="78"/>
        <v>0</v>
      </c>
      <c r="CD40" s="38"/>
      <c r="CE40" s="39">
        <f t="shared" si="79"/>
        <v>0</v>
      </c>
      <c r="CF40" s="40"/>
      <c r="CG40" s="36"/>
      <c r="CH40" s="37">
        <f t="shared" si="80"/>
        <v>0</v>
      </c>
      <c r="CI40" s="38"/>
      <c r="CJ40" s="39">
        <f t="shared" si="81"/>
        <v>0</v>
      </c>
      <c r="CK40" s="38"/>
      <c r="CL40" s="39">
        <f t="shared" si="82"/>
        <v>0</v>
      </c>
      <c r="CM40" s="38"/>
      <c r="CN40" s="39">
        <f t="shared" si="83"/>
        <v>0</v>
      </c>
      <c r="CO40" s="38"/>
      <c r="CP40" s="39">
        <f t="shared" si="84"/>
        <v>0</v>
      </c>
      <c r="CQ40" s="41">
        <f t="shared" si="85"/>
        <v>225000</v>
      </c>
      <c r="CR40" s="41">
        <f t="shared" si="86"/>
        <v>225000</v>
      </c>
      <c r="CS40" s="41">
        <f t="shared" si="42"/>
        <v>225000</v>
      </c>
      <c r="CT40" s="16">
        <f t="shared" si="87"/>
        <v>0</v>
      </c>
    </row>
    <row r="41" spans="1:98" x14ac:dyDescent="0.25">
      <c r="B41" s="46" t="s">
        <v>194</v>
      </c>
      <c r="C41" s="42" t="s">
        <v>33</v>
      </c>
      <c r="D41" s="53">
        <v>120</v>
      </c>
      <c r="E41" s="34">
        <v>-460.98461538461538</v>
      </c>
      <c r="F41" s="34">
        <v>-55318.153846153844</v>
      </c>
      <c r="G41" s="40"/>
      <c r="H41" s="36"/>
      <c r="I41" s="37">
        <f t="shared" si="45"/>
        <v>0</v>
      </c>
      <c r="J41" s="38"/>
      <c r="K41" s="39">
        <f t="shared" si="46"/>
        <v>0</v>
      </c>
      <c r="L41" s="38"/>
      <c r="M41" s="39">
        <f t="shared" si="47"/>
        <v>0</v>
      </c>
      <c r="N41" s="38"/>
      <c r="O41" s="39">
        <f t="shared" si="48"/>
        <v>0</v>
      </c>
      <c r="P41" s="38"/>
      <c r="Q41" s="39">
        <f t="shared" si="49"/>
        <v>0</v>
      </c>
      <c r="R41" s="40"/>
      <c r="S41" s="36"/>
      <c r="T41" s="37">
        <f t="shared" si="50"/>
        <v>0</v>
      </c>
      <c r="U41" s="38"/>
      <c r="V41" s="39">
        <f t="shared" si="51"/>
        <v>0</v>
      </c>
      <c r="W41" s="38"/>
      <c r="X41" s="39">
        <f t="shared" si="52"/>
        <v>0</v>
      </c>
      <c r="Y41" s="38"/>
      <c r="Z41" s="39">
        <f t="shared" si="53"/>
        <v>0</v>
      </c>
      <c r="AA41" s="38"/>
      <c r="AB41" s="39">
        <f t="shared" si="54"/>
        <v>0</v>
      </c>
      <c r="AC41" s="40"/>
      <c r="AD41" s="36"/>
      <c r="AE41" s="37">
        <f t="shared" si="55"/>
        <v>0</v>
      </c>
      <c r="AF41" s="38"/>
      <c r="AG41" s="39">
        <f t="shared" si="56"/>
        <v>0</v>
      </c>
      <c r="AH41" s="38"/>
      <c r="AI41" s="39">
        <f t="shared" si="57"/>
        <v>0</v>
      </c>
      <c r="AJ41" s="38"/>
      <c r="AK41" s="39">
        <f t="shared" si="58"/>
        <v>0</v>
      </c>
      <c r="AL41" s="38"/>
      <c r="AM41" s="39">
        <f t="shared" si="59"/>
        <v>0</v>
      </c>
      <c r="AN41" s="40"/>
      <c r="AO41" s="36"/>
      <c r="AP41" s="37">
        <f t="shared" si="60"/>
        <v>0</v>
      </c>
      <c r="AQ41" s="38"/>
      <c r="AR41" s="39">
        <f t="shared" si="61"/>
        <v>0</v>
      </c>
      <c r="AS41" s="38"/>
      <c r="AT41" s="39">
        <f t="shared" si="62"/>
        <v>0</v>
      </c>
      <c r="AU41" s="38"/>
      <c r="AV41" s="39">
        <f t="shared" si="63"/>
        <v>0</v>
      </c>
      <c r="AW41" s="38"/>
      <c r="AX41" s="39">
        <f t="shared" si="64"/>
        <v>0</v>
      </c>
      <c r="AY41" s="40"/>
      <c r="AZ41" s="36"/>
      <c r="BA41" s="37">
        <f t="shared" si="65"/>
        <v>0</v>
      </c>
      <c r="BB41" s="38"/>
      <c r="BC41" s="39">
        <f t="shared" si="66"/>
        <v>0</v>
      </c>
      <c r="BD41" s="38"/>
      <c r="BE41" s="39">
        <f t="shared" si="67"/>
        <v>0</v>
      </c>
      <c r="BF41" s="38"/>
      <c r="BG41" s="39">
        <f t="shared" si="68"/>
        <v>0</v>
      </c>
      <c r="BH41" s="38"/>
      <c r="BI41" s="39">
        <f t="shared" si="69"/>
        <v>0</v>
      </c>
      <c r="BJ41" s="40"/>
      <c r="BK41" s="36">
        <v>1</v>
      </c>
      <c r="BL41" s="37">
        <f t="shared" si="70"/>
        <v>-55318.153846153844</v>
      </c>
      <c r="BM41" s="38"/>
      <c r="BN41" s="39">
        <f t="shared" si="71"/>
        <v>0</v>
      </c>
      <c r="BO41" s="38">
        <v>1</v>
      </c>
      <c r="BP41" s="39">
        <f t="shared" si="72"/>
        <v>-55318.153846153844</v>
      </c>
      <c r="BQ41" s="38"/>
      <c r="BR41" s="39">
        <f t="shared" si="73"/>
        <v>0</v>
      </c>
      <c r="BS41" s="38"/>
      <c r="BT41" s="39">
        <f t="shared" si="74"/>
        <v>0</v>
      </c>
      <c r="BU41" s="40"/>
      <c r="BV41" s="36"/>
      <c r="BW41" s="37">
        <f t="shared" si="75"/>
        <v>0</v>
      </c>
      <c r="BX41" s="38"/>
      <c r="BY41" s="39">
        <f t="shared" si="76"/>
        <v>0</v>
      </c>
      <c r="BZ41" s="38"/>
      <c r="CA41" s="39">
        <f t="shared" si="77"/>
        <v>0</v>
      </c>
      <c r="CB41" s="38"/>
      <c r="CC41" s="39">
        <f t="shared" si="78"/>
        <v>0</v>
      </c>
      <c r="CD41" s="38"/>
      <c r="CE41" s="39">
        <f t="shared" si="79"/>
        <v>0</v>
      </c>
      <c r="CF41" s="40"/>
      <c r="CG41" s="36"/>
      <c r="CH41" s="37">
        <f t="shared" si="80"/>
        <v>0</v>
      </c>
      <c r="CI41" s="38"/>
      <c r="CJ41" s="39">
        <f t="shared" si="81"/>
        <v>0</v>
      </c>
      <c r="CK41" s="38"/>
      <c r="CL41" s="39">
        <f t="shared" si="82"/>
        <v>0</v>
      </c>
      <c r="CM41" s="38"/>
      <c r="CN41" s="39">
        <f t="shared" si="83"/>
        <v>0</v>
      </c>
      <c r="CO41" s="38"/>
      <c r="CP41" s="39">
        <f t="shared" si="84"/>
        <v>0</v>
      </c>
      <c r="CQ41" s="41">
        <f t="shared" si="85"/>
        <v>-55318.153846153844</v>
      </c>
      <c r="CR41" s="41">
        <f t="shared" si="86"/>
        <v>-55318.153846153844</v>
      </c>
      <c r="CS41" s="41">
        <f t="shared" si="42"/>
        <v>-55318.153846153844</v>
      </c>
      <c r="CT41" s="16">
        <f t="shared" si="87"/>
        <v>0</v>
      </c>
    </row>
    <row r="42" spans="1:98" x14ac:dyDescent="0.25">
      <c r="B42" s="46" t="s">
        <v>44</v>
      </c>
      <c r="C42" s="42" t="s">
        <v>40</v>
      </c>
      <c r="D42" s="53">
        <v>11896.481481481482</v>
      </c>
      <c r="E42" s="34">
        <v>40</v>
      </c>
      <c r="F42" s="34">
        <v>475859.25925925927</v>
      </c>
      <c r="G42" s="40"/>
      <c r="H42" s="36"/>
      <c r="I42" s="37">
        <f t="shared" si="45"/>
        <v>0</v>
      </c>
      <c r="J42" s="38"/>
      <c r="K42" s="39">
        <f t="shared" si="46"/>
        <v>0</v>
      </c>
      <c r="L42" s="38"/>
      <c r="M42" s="39">
        <f t="shared" si="47"/>
        <v>0</v>
      </c>
      <c r="N42" s="38"/>
      <c r="O42" s="39">
        <f t="shared" si="48"/>
        <v>0</v>
      </c>
      <c r="P42" s="38"/>
      <c r="Q42" s="39">
        <f t="shared" si="49"/>
        <v>0</v>
      </c>
      <c r="R42" s="40"/>
      <c r="S42" s="36">
        <v>1</v>
      </c>
      <c r="T42" s="37">
        <f t="shared" si="50"/>
        <v>475859.25925925927</v>
      </c>
      <c r="U42" s="38"/>
      <c r="V42" s="39">
        <f t="shared" si="51"/>
        <v>0</v>
      </c>
      <c r="W42" s="38">
        <v>1</v>
      </c>
      <c r="X42" s="39">
        <f t="shared" si="52"/>
        <v>475859.25925925927</v>
      </c>
      <c r="Y42" s="38"/>
      <c r="Z42" s="39">
        <f t="shared" si="53"/>
        <v>0</v>
      </c>
      <c r="AA42" s="38"/>
      <c r="AB42" s="39">
        <f t="shared" si="54"/>
        <v>0</v>
      </c>
      <c r="AC42" s="40"/>
      <c r="AD42" s="36"/>
      <c r="AE42" s="37">
        <f t="shared" si="55"/>
        <v>0</v>
      </c>
      <c r="AF42" s="38"/>
      <c r="AG42" s="39">
        <f t="shared" si="56"/>
        <v>0</v>
      </c>
      <c r="AH42" s="38"/>
      <c r="AI42" s="39">
        <f t="shared" si="57"/>
        <v>0</v>
      </c>
      <c r="AJ42" s="38"/>
      <c r="AK42" s="39">
        <f t="shared" si="58"/>
        <v>0</v>
      </c>
      <c r="AL42" s="38"/>
      <c r="AM42" s="39">
        <f t="shared" si="59"/>
        <v>0</v>
      </c>
      <c r="AN42" s="40"/>
      <c r="AO42" s="36"/>
      <c r="AP42" s="37">
        <f t="shared" si="60"/>
        <v>0</v>
      </c>
      <c r="AQ42" s="38"/>
      <c r="AR42" s="39">
        <f t="shared" si="61"/>
        <v>0</v>
      </c>
      <c r="AS42" s="38"/>
      <c r="AT42" s="39">
        <f t="shared" si="62"/>
        <v>0</v>
      </c>
      <c r="AU42" s="38"/>
      <c r="AV42" s="39">
        <f t="shared" si="63"/>
        <v>0</v>
      </c>
      <c r="AW42" s="38"/>
      <c r="AX42" s="39">
        <f t="shared" si="64"/>
        <v>0</v>
      </c>
      <c r="AY42" s="40"/>
      <c r="AZ42" s="36"/>
      <c r="BA42" s="37">
        <f t="shared" si="65"/>
        <v>0</v>
      </c>
      <c r="BB42" s="38"/>
      <c r="BC42" s="39">
        <f t="shared" si="66"/>
        <v>0</v>
      </c>
      <c r="BD42" s="38"/>
      <c r="BE42" s="39">
        <f t="shared" si="67"/>
        <v>0</v>
      </c>
      <c r="BF42" s="38"/>
      <c r="BG42" s="39">
        <f t="shared" si="68"/>
        <v>0</v>
      </c>
      <c r="BH42" s="38"/>
      <c r="BI42" s="39">
        <f t="shared" si="69"/>
        <v>0</v>
      </c>
      <c r="BJ42" s="40"/>
      <c r="BK42" s="36"/>
      <c r="BL42" s="37">
        <f t="shared" si="70"/>
        <v>0</v>
      </c>
      <c r="BM42" s="38"/>
      <c r="BN42" s="39">
        <f t="shared" si="71"/>
        <v>0</v>
      </c>
      <c r="BO42" s="38"/>
      <c r="BP42" s="39">
        <f t="shared" si="72"/>
        <v>0</v>
      </c>
      <c r="BQ42" s="38"/>
      <c r="BR42" s="39">
        <f t="shared" si="73"/>
        <v>0</v>
      </c>
      <c r="BS42" s="38"/>
      <c r="BT42" s="39">
        <f t="shared" si="74"/>
        <v>0</v>
      </c>
      <c r="BU42" s="40"/>
      <c r="BV42" s="36"/>
      <c r="BW42" s="37">
        <f t="shared" si="75"/>
        <v>0</v>
      </c>
      <c r="BX42" s="38"/>
      <c r="BY42" s="39">
        <f t="shared" si="76"/>
        <v>0</v>
      </c>
      <c r="BZ42" s="38"/>
      <c r="CA42" s="39">
        <f t="shared" si="77"/>
        <v>0</v>
      </c>
      <c r="CB42" s="38"/>
      <c r="CC42" s="39">
        <f t="shared" si="78"/>
        <v>0</v>
      </c>
      <c r="CD42" s="38"/>
      <c r="CE42" s="39">
        <f t="shared" si="79"/>
        <v>0</v>
      </c>
      <c r="CF42" s="40"/>
      <c r="CG42" s="36"/>
      <c r="CH42" s="37">
        <f t="shared" si="80"/>
        <v>0</v>
      </c>
      <c r="CI42" s="38"/>
      <c r="CJ42" s="39">
        <f t="shared" si="81"/>
        <v>0</v>
      </c>
      <c r="CK42" s="38"/>
      <c r="CL42" s="39">
        <f t="shared" si="82"/>
        <v>0</v>
      </c>
      <c r="CM42" s="38"/>
      <c r="CN42" s="39">
        <f t="shared" si="83"/>
        <v>0</v>
      </c>
      <c r="CO42" s="38"/>
      <c r="CP42" s="39">
        <f t="shared" si="84"/>
        <v>0</v>
      </c>
      <c r="CQ42" s="41">
        <f t="shared" si="85"/>
        <v>475859.25925925927</v>
      </c>
      <c r="CR42" s="41">
        <f t="shared" si="86"/>
        <v>475859.25925925927</v>
      </c>
      <c r="CS42" s="41">
        <f t="shared" si="42"/>
        <v>475859.25925925927</v>
      </c>
      <c r="CT42" s="16">
        <f t="shared" si="87"/>
        <v>0</v>
      </c>
    </row>
    <row r="43" spans="1:98" x14ac:dyDescent="0.25">
      <c r="B43" s="46"/>
      <c r="C43" s="42"/>
      <c r="D43" s="53"/>
      <c r="E43" s="34"/>
      <c r="F43" s="34"/>
      <c r="G43" s="40"/>
      <c r="H43" s="36"/>
      <c r="I43" s="37"/>
      <c r="J43" s="38"/>
      <c r="K43" s="39"/>
      <c r="L43" s="38"/>
      <c r="M43" s="39"/>
      <c r="N43" s="38"/>
      <c r="O43" s="39"/>
      <c r="P43" s="38"/>
      <c r="Q43" s="39"/>
      <c r="R43" s="40"/>
      <c r="S43" s="36"/>
      <c r="T43" s="37"/>
      <c r="U43" s="38"/>
      <c r="V43" s="39"/>
      <c r="W43" s="38"/>
      <c r="X43" s="39"/>
      <c r="Y43" s="38"/>
      <c r="Z43" s="39"/>
      <c r="AA43" s="38"/>
      <c r="AB43" s="39"/>
      <c r="AC43" s="40"/>
      <c r="AD43" s="36"/>
      <c r="AE43" s="37"/>
      <c r="AF43" s="38"/>
      <c r="AG43" s="39"/>
      <c r="AH43" s="38"/>
      <c r="AI43" s="39"/>
      <c r="AJ43" s="38"/>
      <c r="AK43" s="39"/>
      <c r="AL43" s="38"/>
      <c r="AM43" s="39"/>
      <c r="AN43" s="40"/>
      <c r="AO43" s="36"/>
      <c r="AP43" s="37"/>
      <c r="AQ43" s="38"/>
      <c r="AR43" s="39"/>
      <c r="AS43" s="38"/>
      <c r="AT43" s="39"/>
      <c r="AU43" s="38"/>
      <c r="AV43" s="39"/>
      <c r="AW43" s="38"/>
      <c r="AX43" s="39"/>
      <c r="AY43" s="40"/>
      <c r="AZ43" s="36"/>
      <c r="BA43" s="37"/>
      <c r="BB43" s="38"/>
      <c r="BC43" s="39"/>
      <c r="BD43" s="38"/>
      <c r="BE43" s="39"/>
      <c r="BF43" s="38"/>
      <c r="BG43" s="39"/>
      <c r="BH43" s="38"/>
      <c r="BI43" s="39"/>
      <c r="BJ43" s="40"/>
      <c r="BK43" s="36"/>
      <c r="BL43" s="37"/>
      <c r="BM43" s="38"/>
      <c r="BN43" s="39"/>
      <c r="BO43" s="38"/>
      <c r="BP43" s="39"/>
      <c r="BQ43" s="38"/>
      <c r="BR43" s="39"/>
      <c r="BS43" s="38"/>
      <c r="BT43" s="39"/>
      <c r="BU43" s="40"/>
      <c r="BV43" s="36"/>
      <c r="BW43" s="37"/>
      <c r="BX43" s="38"/>
      <c r="BY43" s="39"/>
      <c r="BZ43" s="38"/>
      <c r="CA43" s="39"/>
      <c r="CB43" s="38"/>
      <c r="CC43" s="39"/>
      <c r="CD43" s="38"/>
      <c r="CE43" s="39"/>
      <c r="CF43" s="40"/>
      <c r="CG43" s="36"/>
      <c r="CH43" s="37"/>
      <c r="CI43" s="38"/>
      <c r="CJ43" s="39"/>
      <c r="CK43" s="38"/>
      <c r="CL43" s="39"/>
      <c r="CM43" s="38"/>
      <c r="CN43" s="39"/>
      <c r="CO43" s="38"/>
      <c r="CP43" s="39"/>
      <c r="CQ43" s="41"/>
      <c r="CR43" s="41"/>
      <c r="CS43" s="41">
        <f t="shared" si="42"/>
        <v>0</v>
      </c>
      <c r="CT43" s="16"/>
    </row>
    <row r="44" spans="1:98" x14ac:dyDescent="0.25">
      <c r="A44" s="1" t="s">
        <v>195</v>
      </c>
      <c r="C44" s="45"/>
      <c r="D44" s="53"/>
      <c r="E44" s="50"/>
      <c r="F44" s="34">
        <v>0</v>
      </c>
      <c r="G44" s="40"/>
      <c r="H44" s="36"/>
      <c r="I44" s="37">
        <f t="shared" si="2"/>
        <v>0</v>
      </c>
      <c r="J44" s="38"/>
      <c r="K44" s="39">
        <f>J44*I44</f>
        <v>0</v>
      </c>
      <c r="L44" s="38"/>
      <c r="M44" s="39">
        <f>L44*I44</f>
        <v>0</v>
      </c>
      <c r="N44" s="38"/>
      <c r="O44" s="39">
        <f>N44*I44</f>
        <v>0</v>
      </c>
      <c r="P44" s="38"/>
      <c r="Q44" s="39">
        <f>P44*I44</f>
        <v>0</v>
      </c>
      <c r="R44" s="40"/>
      <c r="S44" s="36"/>
      <c r="T44" s="37">
        <f t="shared" si="7"/>
        <v>0</v>
      </c>
      <c r="U44" s="38"/>
      <c r="V44" s="39">
        <f>U44*T44</f>
        <v>0</v>
      </c>
      <c r="W44" s="38"/>
      <c r="X44" s="39">
        <f>W44*T44</f>
        <v>0</v>
      </c>
      <c r="Y44" s="38"/>
      <c r="Z44" s="39">
        <f>Y44*T44</f>
        <v>0</v>
      </c>
      <c r="AA44" s="38"/>
      <c r="AB44" s="39">
        <f>AA44*T44</f>
        <v>0</v>
      </c>
      <c r="AC44" s="40"/>
      <c r="AD44" s="36"/>
      <c r="AE44" s="37">
        <f t="shared" si="12"/>
        <v>0</v>
      </c>
      <c r="AF44" s="38"/>
      <c r="AG44" s="39">
        <f>AF44*AE44</f>
        <v>0</v>
      </c>
      <c r="AH44" s="38"/>
      <c r="AI44" s="39">
        <f>AH44*AE44</f>
        <v>0</v>
      </c>
      <c r="AJ44" s="38"/>
      <c r="AK44" s="39">
        <f>AJ44*AE44</f>
        <v>0</v>
      </c>
      <c r="AL44" s="38"/>
      <c r="AM44" s="39">
        <f>AL44*AE44</f>
        <v>0</v>
      </c>
      <c r="AN44" s="40"/>
      <c r="AO44" s="36"/>
      <c r="AP44" s="37">
        <f t="shared" si="17"/>
        <v>0</v>
      </c>
      <c r="AQ44" s="38"/>
      <c r="AR44" s="39">
        <f>AQ44*AP44</f>
        <v>0</v>
      </c>
      <c r="AS44" s="38"/>
      <c r="AT44" s="39">
        <f>AS44*AP44</f>
        <v>0</v>
      </c>
      <c r="AU44" s="38"/>
      <c r="AV44" s="39">
        <f>AU44*AP44</f>
        <v>0</v>
      </c>
      <c r="AW44" s="38"/>
      <c r="AX44" s="39">
        <f>AW44*AP44</f>
        <v>0</v>
      </c>
      <c r="AY44" s="40"/>
      <c r="AZ44" s="36"/>
      <c r="BA44" s="37">
        <f t="shared" si="22"/>
        <v>0</v>
      </c>
      <c r="BB44" s="38"/>
      <c r="BC44" s="39">
        <f>BB44*BA44</f>
        <v>0</v>
      </c>
      <c r="BD44" s="38"/>
      <c r="BE44" s="39">
        <f>BD44*BA44</f>
        <v>0</v>
      </c>
      <c r="BF44" s="38"/>
      <c r="BG44" s="39">
        <f>BF44*BA44</f>
        <v>0</v>
      </c>
      <c r="BH44" s="38"/>
      <c r="BI44" s="39">
        <f>BH44*BA44</f>
        <v>0</v>
      </c>
      <c r="BJ44" s="40"/>
      <c r="BK44" s="36"/>
      <c r="BL44" s="37">
        <f t="shared" si="27"/>
        <v>0</v>
      </c>
      <c r="BM44" s="38"/>
      <c r="BN44" s="39">
        <f>BM44*BL44</f>
        <v>0</v>
      </c>
      <c r="BO44" s="38"/>
      <c r="BP44" s="39">
        <f>BO44*BL44</f>
        <v>0</v>
      </c>
      <c r="BQ44" s="38"/>
      <c r="BR44" s="39">
        <f>BQ44*BL44</f>
        <v>0</v>
      </c>
      <c r="BS44" s="38"/>
      <c r="BT44" s="39">
        <f>BS44*BL44</f>
        <v>0</v>
      </c>
      <c r="BU44" s="40"/>
      <c r="BV44" s="36"/>
      <c r="BW44" s="37">
        <f t="shared" si="32"/>
        <v>0</v>
      </c>
      <c r="BX44" s="38"/>
      <c r="BY44" s="39">
        <f>BX44*BW44</f>
        <v>0</v>
      </c>
      <c r="BZ44" s="38"/>
      <c r="CA44" s="39">
        <f>BZ44*BW44</f>
        <v>0</v>
      </c>
      <c r="CB44" s="38"/>
      <c r="CC44" s="39">
        <f>CB44*BW44</f>
        <v>0</v>
      </c>
      <c r="CD44" s="38"/>
      <c r="CE44" s="39">
        <f>CD44*BW44</f>
        <v>0</v>
      </c>
      <c r="CF44" s="40"/>
      <c r="CG44" s="36"/>
      <c r="CH44" s="37">
        <f t="shared" si="37"/>
        <v>0</v>
      </c>
      <c r="CI44" s="38"/>
      <c r="CJ44" s="39">
        <f>CI44*CH44</f>
        <v>0</v>
      </c>
      <c r="CK44" s="38"/>
      <c r="CL44" s="39">
        <f>CK44*CH44</f>
        <v>0</v>
      </c>
      <c r="CM44" s="38"/>
      <c r="CN44" s="39">
        <f>CM44*CH44</f>
        <v>0</v>
      </c>
      <c r="CO44" s="38"/>
      <c r="CP44" s="39">
        <f>CO44*CH44</f>
        <v>0</v>
      </c>
      <c r="CQ44" s="41">
        <f t="shared" ref="CQ44:CQ50" si="88">F44</f>
        <v>0</v>
      </c>
      <c r="CR44" s="41">
        <f t="shared" ref="CR44:CR50" si="89">I44+T44+AE44+AP44+BA44+BL44+BW44+CH44</f>
        <v>0</v>
      </c>
      <c r="CS44" s="41">
        <f t="shared" si="42"/>
        <v>0</v>
      </c>
      <c r="CT44" s="16">
        <f>IF(AND(CQ44=CR44,CR44=CS44,CQ44=CS44),0,1)</f>
        <v>0</v>
      </c>
    </row>
    <row r="45" spans="1:98" x14ac:dyDescent="0.25">
      <c r="B45" s="48" t="s">
        <v>32</v>
      </c>
      <c r="C45" s="42" t="s">
        <v>33</v>
      </c>
      <c r="D45" s="53">
        <v>750</v>
      </c>
      <c r="E45" s="34">
        <v>240</v>
      </c>
      <c r="F45" s="34">
        <v>180000</v>
      </c>
      <c r="G45" s="40"/>
      <c r="H45" s="36"/>
      <c r="I45" s="37">
        <f t="shared" si="2"/>
        <v>0</v>
      </c>
      <c r="J45" s="38"/>
      <c r="K45" s="39">
        <f>J45*I45</f>
        <v>0</v>
      </c>
      <c r="L45" s="38"/>
      <c r="M45" s="39">
        <f>L45*I45</f>
        <v>0</v>
      </c>
      <c r="N45" s="38"/>
      <c r="O45" s="39">
        <f>N45*I45</f>
        <v>0</v>
      </c>
      <c r="P45" s="38"/>
      <c r="Q45" s="39">
        <f>P45*I45</f>
        <v>0</v>
      </c>
      <c r="R45" s="40"/>
      <c r="S45" s="36"/>
      <c r="T45" s="37">
        <f t="shared" si="7"/>
        <v>0</v>
      </c>
      <c r="U45" s="38"/>
      <c r="V45" s="39">
        <f>U45*T45</f>
        <v>0</v>
      </c>
      <c r="W45" s="38"/>
      <c r="X45" s="39">
        <f>W45*T45</f>
        <v>0</v>
      </c>
      <c r="Y45" s="38"/>
      <c r="Z45" s="39">
        <f>Y45*T45</f>
        <v>0</v>
      </c>
      <c r="AA45" s="38"/>
      <c r="AB45" s="39">
        <f>AA45*T45</f>
        <v>0</v>
      </c>
      <c r="AC45" s="40"/>
      <c r="AD45" s="36">
        <v>0.8</v>
      </c>
      <c r="AE45" s="37">
        <f t="shared" si="12"/>
        <v>144000</v>
      </c>
      <c r="AF45" s="38">
        <v>1</v>
      </c>
      <c r="AG45" s="39">
        <f>AF45*AE45</f>
        <v>144000</v>
      </c>
      <c r="AH45" s="38"/>
      <c r="AI45" s="39">
        <f>AH45*AE45</f>
        <v>0</v>
      </c>
      <c r="AJ45" s="38"/>
      <c r="AK45" s="39">
        <f>AJ45*AE45</f>
        <v>0</v>
      </c>
      <c r="AL45" s="38"/>
      <c r="AM45" s="39">
        <f>AL45*AE45</f>
        <v>0</v>
      </c>
      <c r="AN45" s="40"/>
      <c r="AO45" s="36">
        <v>0.2</v>
      </c>
      <c r="AP45" s="37">
        <f t="shared" si="17"/>
        <v>36000</v>
      </c>
      <c r="AQ45" s="38">
        <v>1</v>
      </c>
      <c r="AR45" s="39">
        <f>AQ45*AP45</f>
        <v>36000</v>
      </c>
      <c r="AS45" s="38"/>
      <c r="AT45" s="39">
        <f>AS45*AP45</f>
        <v>0</v>
      </c>
      <c r="AU45" s="38"/>
      <c r="AV45" s="39">
        <f>AU45*AP45</f>
        <v>0</v>
      </c>
      <c r="AW45" s="38"/>
      <c r="AX45" s="39">
        <f>AW45*AP45</f>
        <v>0</v>
      </c>
      <c r="AY45" s="40"/>
      <c r="AZ45" s="36"/>
      <c r="BA45" s="37">
        <f t="shared" si="22"/>
        <v>0</v>
      </c>
      <c r="BB45" s="38"/>
      <c r="BC45" s="39">
        <f>BB45*BA45</f>
        <v>0</v>
      </c>
      <c r="BD45" s="38"/>
      <c r="BE45" s="39">
        <f>BD45*BA45</f>
        <v>0</v>
      </c>
      <c r="BF45" s="38"/>
      <c r="BG45" s="39">
        <f>BF45*BA45</f>
        <v>0</v>
      </c>
      <c r="BH45" s="38"/>
      <c r="BI45" s="39">
        <f>BH45*BA45</f>
        <v>0</v>
      </c>
      <c r="BJ45" s="40"/>
      <c r="BK45" s="36"/>
      <c r="BL45" s="37">
        <f t="shared" si="27"/>
        <v>0</v>
      </c>
      <c r="BM45" s="38"/>
      <c r="BN45" s="39">
        <f>BM45*BL45</f>
        <v>0</v>
      </c>
      <c r="BO45" s="38"/>
      <c r="BP45" s="39">
        <f>BO45*BL45</f>
        <v>0</v>
      </c>
      <c r="BQ45" s="38"/>
      <c r="BR45" s="39">
        <f>BQ45*BL45</f>
        <v>0</v>
      </c>
      <c r="BS45" s="38"/>
      <c r="BT45" s="39">
        <f>BS45*BL45</f>
        <v>0</v>
      </c>
      <c r="BU45" s="40"/>
      <c r="BV45" s="36"/>
      <c r="BW45" s="37">
        <f t="shared" si="32"/>
        <v>0</v>
      </c>
      <c r="BX45" s="38"/>
      <c r="BY45" s="39">
        <f>BX45*BW45</f>
        <v>0</v>
      </c>
      <c r="BZ45" s="38"/>
      <c r="CA45" s="39">
        <f>BZ45*BW45</f>
        <v>0</v>
      </c>
      <c r="CB45" s="38"/>
      <c r="CC45" s="39">
        <f>CB45*BW45</f>
        <v>0</v>
      </c>
      <c r="CD45" s="38"/>
      <c r="CE45" s="39">
        <f>CD45*BW45</f>
        <v>0</v>
      </c>
      <c r="CF45" s="40"/>
      <c r="CG45" s="36"/>
      <c r="CH45" s="37">
        <f t="shared" si="37"/>
        <v>0</v>
      </c>
      <c r="CI45" s="38"/>
      <c r="CJ45" s="39">
        <f>CI45*CH45</f>
        <v>0</v>
      </c>
      <c r="CK45" s="38"/>
      <c r="CL45" s="39">
        <f>CK45*CH45</f>
        <v>0</v>
      </c>
      <c r="CM45" s="38"/>
      <c r="CN45" s="39">
        <f>CM45*CH45</f>
        <v>0</v>
      </c>
      <c r="CO45" s="38"/>
      <c r="CP45" s="39">
        <f>CO45*CH45</f>
        <v>0</v>
      </c>
      <c r="CQ45" s="41">
        <f t="shared" si="88"/>
        <v>180000</v>
      </c>
      <c r="CR45" s="41">
        <f t="shared" si="89"/>
        <v>180000</v>
      </c>
      <c r="CS45" s="41">
        <f t="shared" si="42"/>
        <v>180000</v>
      </c>
      <c r="CT45" s="16">
        <f>IF(AND(CQ45=CR45,CR45=CS45,CQ45=CS45),0,1)</f>
        <v>0</v>
      </c>
    </row>
    <row r="46" spans="1:98" x14ac:dyDescent="0.25">
      <c r="B46" s="46" t="s">
        <v>34</v>
      </c>
      <c r="C46" s="42" t="s">
        <v>33</v>
      </c>
      <c r="D46" s="53">
        <v>750</v>
      </c>
      <c r="E46" s="34">
        <v>-180.52631578947367</v>
      </c>
      <c r="F46" s="34">
        <v>-135394.73684210525</v>
      </c>
      <c r="G46" s="40"/>
      <c r="H46" s="36"/>
      <c r="I46" s="37">
        <f t="shared" si="2"/>
        <v>0</v>
      </c>
      <c r="J46" s="38"/>
      <c r="K46" s="39">
        <f>J46*I46</f>
        <v>0</v>
      </c>
      <c r="L46" s="38"/>
      <c r="M46" s="39">
        <f>L46*I46</f>
        <v>0</v>
      </c>
      <c r="N46" s="38"/>
      <c r="O46" s="39">
        <f>N46*I46</f>
        <v>0</v>
      </c>
      <c r="P46" s="38"/>
      <c r="Q46" s="39">
        <f>P46*I46</f>
        <v>0</v>
      </c>
      <c r="R46" s="40"/>
      <c r="S46" s="36"/>
      <c r="T46" s="37">
        <f t="shared" si="7"/>
        <v>0</v>
      </c>
      <c r="U46" s="38"/>
      <c r="V46" s="39">
        <f>U46*T46</f>
        <v>0</v>
      </c>
      <c r="W46" s="38"/>
      <c r="X46" s="39">
        <f>W46*T46</f>
        <v>0</v>
      </c>
      <c r="Y46" s="38"/>
      <c r="Z46" s="39">
        <f>Y46*T46</f>
        <v>0</v>
      </c>
      <c r="AA46" s="38"/>
      <c r="AB46" s="39">
        <f>AA46*T46</f>
        <v>0</v>
      </c>
      <c r="AC46" s="40"/>
      <c r="AD46" s="36">
        <v>0.8</v>
      </c>
      <c r="AE46" s="37">
        <f t="shared" si="12"/>
        <v>-108315.78947368421</v>
      </c>
      <c r="AF46" s="38">
        <v>1</v>
      </c>
      <c r="AG46" s="39">
        <f>AF46*AE46</f>
        <v>-108315.78947368421</v>
      </c>
      <c r="AH46" s="38"/>
      <c r="AI46" s="39">
        <f>AH46*AE46</f>
        <v>0</v>
      </c>
      <c r="AJ46" s="38"/>
      <c r="AK46" s="39">
        <f>AJ46*AE46</f>
        <v>0</v>
      </c>
      <c r="AL46" s="38"/>
      <c r="AM46" s="39">
        <f>AL46*AE46</f>
        <v>0</v>
      </c>
      <c r="AN46" s="40"/>
      <c r="AO46" s="36">
        <v>0.2</v>
      </c>
      <c r="AP46" s="37">
        <f t="shared" si="17"/>
        <v>-27078.947368421053</v>
      </c>
      <c r="AQ46" s="38">
        <v>1</v>
      </c>
      <c r="AR46" s="39">
        <f>AQ46*AP46</f>
        <v>-27078.947368421053</v>
      </c>
      <c r="AS46" s="38"/>
      <c r="AT46" s="39">
        <f>AS46*AP46</f>
        <v>0</v>
      </c>
      <c r="AU46" s="38"/>
      <c r="AV46" s="39">
        <f>AU46*AP46</f>
        <v>0</v>
      </c>
      <c r="AW46" s="38"/>
      <c r="AX46" s="39">
        <f>AW46*AP46</f>
        <v>0</v>
      </c>
      <c r="AY46" s="40"/>
      <c r="AZ46" s="36"/>
      <c r="BA46" s="37">
        <f t="shared" si="22"/>
        <v>0</v>
      </c>
      <c r="BB46" s="38"/>
      <c r="BC46" s="39">
        <f>BB46*BA46</f>
        <v>0</v>
      </c>
      <c r="BD46" s="38"/>
      <c r="BE46" s="39">
        <f>BD46*BA46</f>
        <v>0</v>
      </c>
      <c r="BF46" s="38"/>
      <c r="BG46" s="39">
        <f>BF46*BA46</f>
        <v>0</v>
      </c>
      <c r="BH46" s="38"/>
      <c r="BI46" s="39">
        <f>BH46*BA46</f>
        <v>0</v>
      </c>
      <c r="BJ46" s="40"/>
      <c r="BK46" s="36"/>
      <c r="BL46" s="37">
        <f t="shared" si="27"/>
        <v>0</v>
      </c>
      <c r="BM46" s="38"/>
      <c r="BN46" s="39">
        <f>BM46*BL46</f>
        <v>0</v>
      </c>
      <c r="BO46" s="38"/>
      <c r="BP46" s="39">
        <f>BO46*BL46</f>
        <v>0</v>
      </c>
      <c r="BQ46" s="38"/>
      <c r="BR46" s="39">
        <f>BQ46*BL46</f>
        <v>0</v>
      </c>
      <c r="BS46" s="38"/>
      <c r="BT46" s="39">
        <f>BS46*BL46</f>
        <v>0</v>
      </c>
      <c r="BU46" s="40"/>
      <c r="BV46" s="36"/>
      <c r="BW46" s="37">
        <f t="shared" si="32"/>
        <v>0</v>
      </c>
      <c r="BX46" s="38"/>
      <c r="BY46" s="39">
        <f>BX46*BW46</f>
        <v>0</v>
      </c>
      <c r="BZ46" s="38"/>
      <c r="CA46" s="39">
        <f>BZ46*BW46</f>
        <v>0</v>
      </c>
      <c r="CB46" s="38"/>
      <c r="CC46" s="39">
        <f>CB46*BW46</f>
        <v>0</v>
      </c>
      <c r="CD46" s="38"/>
      <c r="CE46" s="39">
        <f>CD46*BW46</f>
        <v>0</v>
      </c>
      <c r="CF46" s="40"/>
      <c r="CG46" s="36"/>
      <c r="CH46" s="37">
        <f t="shared" si="37"/>
        <v>0</v>
      </c>
      <c r="CI46" s="38"/>
      <c r="CJ46" s="39">
        <f>CI46*CH46</f>
        <v>0</v>
      </c>
      <c r="CK46" s="38"/>
      <c r="CL46" s="39">
        <f>CK46*CH46</f>
        <v>0</v>
      </c>
      <c r="CM46" s="38"/>
      <c r="CN46" s="39">
        <f>CM46*CH46</f>
        <v>0</v>
      </c>
      <c r="CO46" s="38"/>
      <c r="CP46" s="39">
        <f>CO46*CH46</f>
        <v>0</v>
      </c>
      <c r="CQ46" s="41">
        <f t="shared" si="88"/>
        <v>-135394.73684210525</v>
      </c>
      <c r="CR46" s="41">
        <f t="shared" si="89"/>
        <v>-135394.73684210528</v>
      </c>
      <c r="CS46" s="41">
        <f t="shared" si="42"/>
        <v>-135394.73684210528</v>
      </c>
      <c r="CT46" s="16">
        <f>IF(AND(CQ46=CR46,CR46=CS46,CQ46=CS46),0,1)</f>
        <v>0</v>
      </c>
    </row>
    <row r="47" spans="1:98" x14ac:dyDescent="0.25">
      <c r="C47" s="45"/>
      <c r="D47" s="53"/>
      <c r="E47" s="50"/>
      <c r="F47" s="34">
        <v>0</v>
      </c>
      <c r="G47" s="40"/>
      <c r="H47" s="36"/>
      <c r="I47" s="37">
        <f t="shared" si="2"/>
        <v>0</v>
      </c>
      <c r="J47" s="38"/>
      <c r="K47" s="39">
        <f>J47*I47</f>
        <v>0</v>
      </c>
      <c r="L47" s="38"/>
      <c r="M47" s="39">
        <f>L47*I47</f>
        <v>0</v>
      </c>
      <c r="N47" s="38"/>
      <c r="O47" s="39">
        <f>N47*I47</f>
        <v>0</v>
      </c>
      <c r="P47" s="38"/>
      <c r="Q47" s="39">
        <f>P47*I47</f>
        <v>0</v>
      </c>
      <c r="R47" s="40"/>
      <c r="S47" s="36"/>
      <c r="T47" s="37">
        <f t="shared" si="7"/>
        <v>0</v>
      </c>
      <c r="U47" s="38"/>
      <c r="V47" s="39">
        <f>U47*T47</f>
        <v>0</v>
      </c>
      <c r="W47" s="38"/>
      <c r="X47" s="39">
        <f>W47*T47</f>
        <v>0</v>
      </c>
      <c r="Y47" s="38"/>
      <c r="Z47" s="39">
        <f>Y47*T47</f>
        <v>0</v>
      </c>
      <c r="AA47" s="38"/>
      <c r="AB47" s="39">
        <f>AA47*T47</f>
        <v>0</v>
      </c>
      <c r="AC47" s="40"/>
      <c r="AD47" s="36"/>
      <c r="AE47" s="37">
        <f t="shared" si="12"/>
        <v>0</v>
      </c>
      <c r="AF47" s="38"/>
      <c r="AG47" s="39">
        <f>AF47*AE47</f>
        <v>0</v>
      </c>
      <c r="AH47" s="38"/>
      <c r="AI47" s="39">
        <f>AH47*AE47</f>
        <v>0</v>
      </c>
      <c r="AJ47" s="38"/>
      <c r="AK47" s="39">
        <f>AJ47*AE47</f>
        <v>0</v>
      </c>
      <c r="AL47" s="38"/>
      <c r="AM47" s="39">
        <f>AL47*AE47</f>
        <v>0</v>
      </c>
      <c r="AN47" s="40"/>
      <c r="AO47" s="36"/>
      <c r="AP47" s="37">
        <f t="shared" si="17"/>
        <v>0</v>
      </c>
      <c r="AQ47" s="38"/>
      <c r="AR47" s="39">
        <f>AQ47*AP47</f>
        <v>0</v>
      </c>
      <c r="AS47" s="38"/>
      <c r="AT47" s="39">
        <f>AS47*AP47</f>
        <v>0</v>
      </c>
      <c r="AU47" s="38"/>
      <c r="AV47" s="39">
        <f>AU47*AP47</f>
        <v>0</v>
      </c>
      <c r="AW47" s="38"/>
      <c r="AX47" s="39">
        <f>AW47*AP47</f>
        <v>0</v>
      </c>
      <c r="AY47" s="40"/>
      <c r="AZ47" s="36"/>
      <c r="BA47" s="37">
        <f t="shared" si="22"/>
        <v>0</v>
      </c>
      <c r="BB47" s="38"/>
      <c r="BC47" s="39">
        <f>BB47*BA47</f>
        <v>0</v>
      </c>
      <c r="BD47" s="38"/>
      <c r="BE47" s="39">
        <f>BD47*BA47</f>
        <v>0</v>
      </c>
      <c r="BF47" s="38"/>
      <c r="BG47" s="39">
        <f>BF47*BA47</f>
        <v>0</v>
      </c>
      <c r="BH47" s="38"/>
      <c r="BI47" s="39">
        <f>BH47*BA47</f>
        <v>0</v>
      </c>
      <c r="BJ47" s="40"/>
      <c r="BK47" s="36"/>
      <c r="BL47" s="37">
        <f t="shared" si="27"/>
        <v>0</v>
      </c>
      <c r="BM47" s="38"/>
      <c r="BN47" s="39">
        <f>BM47*BL47</f>
        <v>0</v>
      </c>
      <c r="BO47" s="38"/>
      <c r="BP47" s="39">
        <f>BO47*BL47</f>
        <v>0</v>
      </c>
      <c r="BQ47" s="38"/>
      <c r="BR47" s="39">
        <f>BQ47*BL47</f>
        <v>0</v>
      </c>
      <c r="BS47" s="38"/>
      <c r="BT47" s="39">
        <f>BS47*BL47</f>
        <v>0</v>
      </c>
      <c r="BU47" s="40"/>
      <c r="BV47" s="36"/>
      <c r="BW47" s="37">
        <f t="shared" si="32"/>
        <v>0</v>
      </c>
      <c r="BX47" s="38"/>
      <c r="BY47" s="39">
        <f>BX47*BW47</f>
        <v>0</v>
      </c>
      <c r="BZ47" s="38"/>
      <c r="CA47" s="39">
        <f>BZ47*BW47</f>
        <v>0</v>
      </c>
      <c r="CB47" s="38"/>
      <c r="CC47" s="39">
        <f>CB47*BW47</f>
        <v>0</v>
      </c>
      <c r="CD47" s="38"/>
      <c r="CE47" s="39">
        <f>CD47*BW47</f>
        <v>0</v>
      </c>
      <c r="CF47" s="40"/>
      <c r="CG47" s="36"/>
      <c r="CH47" s="37">
        <f t="shared" si="37"/>
        <v>0</v>
      </c>
      <c r="CI47" s="38"/>
      <c r="CJ47" s="39">
        <f>CI47*CH47</f>
        <v>0</v>
      </c>
      <c r="CK47" s="38"/>
      <c r="CL47" s="39">
        <f>CK47*CH47</f>
        <v>0</v>
      </c>
      <c r="CM47" s="38"/>
      <c r="CN47" s="39">
        <f>CM47*CH47</f>
        <v>0</v>
      </c>
      <c r="CO47" s="38"/>
      <c r="CP47" s="39">
        <f>CO47*CH47</f>
        <v>0</v>
      </c>
      <c r="CQ47" s="41">
        <f t="shared" si="88"/>
        <v>0</v>
      </c>
      <c r="CR47" s="41">
        <f t="shared" si="89"/>
        <v>0</v>
      </c>
      <c r="CS47" s="41">
        <f t="shared" si="42"/>
        <v>0</v>
      </c>
      <c r="CT47" s="16">
        <f>IF(AND(CQ47=CR47,CR47=CS47,CQ47=CS47),0,1)</f>
        <v>0</v>
      </c>
    </row>
    <row r="48" spans="1:98" x14ac:dyDescent="0.25">
      <c r="A48" s="1" t="s">
        <v>196</v>
      </c>
      <c r="C48" s="45"/>
      <c r="D48" s="53"/>
      <c r="E48" s="50"/>
      <c r="F48" s="34">
        <v>0</v>
      </c>
      <c r="G48" s="40"/>
      <c r="H48" s="36"/>
      <c r="I48" s="37">
        <f t="shared" si="2"/>
        <v>0</v>
      </c>
      <c r="J48" s="38"/>
      <c r="K48" s="39">
        <f t="shared" ref="K48:K50" si="90">J48*I48</f>
        <v>0</v>
      </c>
      <c r="L48" s="38"/>
      <c r="M48" s="39">
        <f t="shared" ref="M48:M50" si="91">L48*I48</f>
        <v>0</v>
      </c>
      <c r="N48" s="38"/>
      <c r="O48" s="39">
        <f t="shared" ref="O48:O50" si="92">N48*I48</f>
        <v>0</v>
      </c>
      <c r="P48" s="38"/>
      <c r="Q48" s="39">
        <f t="shared" ref="Q48:Q50" si="93">P48*I48</f>
        <v>0</v>
      </c>
      <c r="R48" s="40"/>
      <c r="S48" s="36"/>
      <c r="T48" s="37">
        <f t="shared" si="7"/>
        <v>0</v>
      </c>
      <c r="U48" s="38"/>
      <c r="V48" s="39">
        <f t="shared" ref="V48:V50" si="94">U48*T48</f>
        <v>0</v>
      </c>
      <c r="W48" s="38"/>
      <c r="X48" s="39">
        <f t="shared" ref="X48:X50" si="95">W48*T48</f>
        <v>0</v>
      </c>
      <c r="Y48" s="38"/>
      <c r="Z48" s="39">
        <f t="shared" ref="Z48:Z50" si="96">Y48*T48</f>
        <v>0</v>
      </c>
      <c r="AA48" s="38"/>
      <c r="AB48" s="39">
        <f t="shared" ref="AB48:AB50" si="97">AA48*T48</f>
        <v>0</v>
      </c>
      <c r="AC48" s="40"/>
      <c r="AD48" s="36"/>
      <c r="AE48" s="37">
        <f t="shared" si="12"/>
        <v>0</v>
      </c>
      <c r="AF48" s="38"/>
      <c r="AG48" s="39">
        <f t="shared" ref="AG48:AG50" si="98">AF48*AE48</f>
        <v>0</v>
      </c>
      <c r="AH48" s="38"/>
      <c r="AI48" s="39">
        <f t="shared" ref="AI48:AI50" si="99">AH48*AE48</f>
        <v>0</v>
      </c>
      <c r="AJ48" s="38"/>
      <c r="AK48" s="39">
        <f t="shared" ref="AK48:AK50" si="100">AJ48*AE48</f>
        <v>0</v>
      </c>
      <c r="AL48" s="38"/>
      <c r="AM48" s="39">
        <f t="shared" ref="AM48:AM50" si="101">AL48*AE48</f>
        <v>0</v>
      </c>
      <c r="AN48" s="40"/>
      <c r="AO48" s="36"/>
      <c r="AP48" s="37">
        <f t="shared" si="17"/>
        <v>0</v>
      </c>
      <c r="AQ48" s="38"/>
      <c r="AR48" s="39">
        <f t="shared" ref="AR48:AR50" si="102">AQ48*AP48</f>
        <v>0</v>
      </c>
      <c r="AS48" s="38"/>
      <c r="AT48" s="39">
        <f t="shared" ref="AT48:AT50" si="103">AS48*AP48</f>
        <v>0</v>
      </c>
      <c r="AU48" s="38"/>
      <c r="AV48" s="39">
        <f t="shared" ref="AV48:AV50" si="104">AU48*AP48</f>
        <v>0</v>
      </c>
      <c r="AW48" s="38"/>
      <c r="AX48" s="39">
        <f t="shared" ref="AX48:AX50" si="105">AW48*AP48</f>
        <v>0</v>
      </c>
      <c r="AY48" s="40"/>
      <c r="AZ48" s="36"/>
      <c r="BA48" s="37">
        <f t="shared" si="22"/>
        <v>0</v>
      </c>
      <c r="BB48" s="38"/>
      <c r="BC48" s="39">
        <f t="shared" ref="BC48:BC50" si="106">BB48*BA48</f>
        <v>0</v>
      </c>
      <c r="BD48" s="38"/>
      <c r="BE48" s="39">
        <f t="shared" ref="BE48:BE50" si="107">BD48*BA48</f>
        <v>0</v>
      </c>
      <c r="BF48" s="38"/>
      <c r="BG48" s="39">
        <f t="shared" ref="BG48:BG50" si="108">BF48*BA48</f>
        <v>0</v>
      </c>
      <c r="BH48" s="38"/>
      <c r="BI48" s="39">
        <f t="shared" ref="BI48:BI50" si="109">BH48*BA48</f>
        <v>0</v>
      </c>
      <c r="BJ48" s="40"/>
      <c r="BK48" s="36"/>
      <c r="BL48" s="37">
        <f t="shared" si="27"/>
        <v>0</v>
      </c>
      <c r="BM48" s="38"/>
      <c r="BN48" s="39">
        <f t="shared" ref="BN48:BN50" si="110">BM48*BL48</f>
        <v>0</v>
      </c>
      <c r="BO48" s="38"/>
      <c r="BP48" s="39">
        <f t="shared" ref="BP48:BP50" si="111">BO48*BL48</f>
        <v>0</v>
      </c>
      <c r="BQ48" s="38"/>
      <c r="BR48" s="39">
        <f t="shared" ref="BR48:BR50" si="112">BQ48*BL48</f>
        <v>0</v>
      </c>
      <c r="BS48" s="38"/>
      <c r="BT48" s="39">
        <f t="shared" ref="BT48:BT50" si="113">BS48*BL48</f>
        <v>0</v>
      </c>
      <c r="BU48" s="40"/>
      <c r="BV48" s="36"/>
      <c r="BW48" s="37">
        <f t="shared" si="32"/>
        <v>0</v>
      </c>
      <c r="BX48" s="38"/>
      <c r="BY48" s="39">
        <f t="shared" ref="BY48:BY50" si="114">BX48*BW48</f>
        <v>0</v>
      </c>
      <c r="BZ48" s="38"/>
      <c r="CA48" s="39">
        <f t="shared" ref="CA48:CA50" si="115">BZ48*BW48</f>
        <v>0</v>
      </c>
      <c r="CB48" s="38"/>
      <c r="CC48" s="39">
        <f t="shared" ref="CC48:CC50" si="116">CB48*BW48</f>
        <v>0</v>
      </c>
      <c r="CD48" s="38"/>
      <c r="CE48" s="39">
        <f t="shared" ref="CE48:CE50" si="117">CD48*BW48</f>
        <v>0</v>
      </c>
      <c r="CF48" s="40"/>
      <c r="CG48" s="36"/>
      <c r="CH48" s="37">
        <f t="shared" si="37"/>
        <v>0</v>
      </c>
      <c r="CI48" s="38"/>
      <c r="CJ48" s="39">
        <f t="shared" ref="CJ48:CJ50" si="118">CI48*CH48</f>
        <v>0</v>
      </c>
      <c r="CK48" s="38"/>
      <c r="CL48" s="39">
        <f t="shared" ref="CL48:CL50" si="119">CK48*CH48</f>
        <v>0</v>
      </c>
      <c r="CM48" s="38"/>
      <c r="CN48" s="39">
        <f t="shared" ref="CN48:CN50" si="120">CM48*CH48</f>
        <v>0</v>
      </c>
      <c r="CO48" s="38"/>
      <c r="CP48" s="39">
        <f t="shared" ref="CP48:CP50" si="121">CO48*CH48</f>
        <v>0</v>
      </c>
      <c r="CQ48" s="41">
        <f t="shared" si="88"/>
        <v>0</v>
      </c>
      <c r="CR48" s="41">
        <f t="shared" si="89"/>
        <v>0</v>
      </c>
      <c r="CS48" s="41">
        <f t="shared" si="42"/>
        <v>0</v>
      </c>
      <c r="CT48" s="16">
        <f t="shared" ref="CT48:CT50" si="122">IF(AND(CQ48=CR48,CR48=CS48,CQ48=CS48),0,1)</f>
        <v>0</v>
      </c>
    </row>
    <row r="49" spans="1:98" x14ac:dyDescent="0.25">
      <c r="B49" s="48" t="s">
        <v>32</v>
      </c>
      <c r="C49" s="42" t="s">
        <v>33</v>
      </c>
      <c r="D49" s="53">
        <v>750</v>
      </c>
      <c r="E49" s="34">
        <v>240</v>
      </c>
      <c r="F49" s="34">
        <v>180000</v>
      </c>
      <c r="G49" s="40"/>
      <c r="H49" s="36"/>
      <c r="I49" s="37">
        <f t="shared" si="2"/>
        <v>0</v>
      </c>
      <c r="J49" s="38"/>
      <c r="K49" s="39">
        <f t="shared" si="90"/>
        <v>0</v>
      </c>
      <c r="L49" s="38"/>
      <c r="M49" s="39">
        <f t="shared" si="91"/>
        <v>0</v>
      </c>
      <c r="N49" s="38"/>
      <c r="O49" s="39">
        <f t="shared" si="92"/>
        <v>0</v>
      </c>
      <c r="P49" s="38"/>
      <c r="Q49" s="39">
        <f t="shared" si="93"/>
        <v>0</v>
      </c>
      <c r="R49" s="40"/>
      <c r="S49" s="36"/>
      <c r="T49" s="37">
        <f t="shared" si="7"/>
        <v>0</v>
      </c>
      <c r="U49" s="38"/>
      <c r="V49" s="39">
        <f t="shared" si="94"/>
        <v>0</v>
      </c>
      <c r="W49" s="38"/>
      <c r="X49" s="39">
        <f t="shared" si="95"/>
        <v>0</v>
      </c>
      <c r="Y49" s="38"/>
      <c r="Z49" s="39">
        <f t="shared" si="96"/>
        <v>0</v>
      </c>
      <c r="AA49" s="38"/>
      <c r="AB49" s="39">
        <f t="shared" si="97"/>
        <v>0</v>
      </c>
      <c r="AC49" s="40"/>
      <c r="AD49" s="36">
        <v>0.8</v>
      </c>
      <c r="AE49" s="37">
        <f t="shared" si="12"/>
        <v>144000</v>
      </c>
      <c r="AF49" s="38"/>
      <c r="AG49" s="39">
        <f t="shared" si="98"/>
        <v>0</v>
      </c>
      <c r="AH49" s="38">
        <v>1</v>
      </c>
      <c r="AI49" s="39">
        <f t="shared" si="99"/>
        <v>144000</v>
      </c>
      <c r="AJ49" s="38"/>
      <c r="AK49" s="39">
        <f t="shared" si="100"/>
        <v>0</v>
      </c>
      <c r="AL49" s="38"/>
      <c r="AM49" s="39">
        <f t="shared" si="101"/>
        <v>0</v>
      </c>
      <c r="AN49" s="40"/>
      <c r="AO49" s="36">
        <v>0.2</v>
      </c>
      <c r="AP49" s="37">
        <f t="shared" si="17"/>
        <v>36000</v>
      </c>
      <c r="AQ49" s="38"/>
      <c r="AR49" s="39">
        <f t="shared" si="102"/>
        <v>0</v>
      </c>
      <c r="AS49" s="38">
        <v>1</v>
      </c>
      <c r="AT49" s="39">
        <f t="shared" si="103"/>
        <v>36000</v>
      </c>
      <c r="AU49" s="38"/>
      <c r="AV49" s="39">
        <f t="shared" si="104"/>
        <v>0</v>
      </c>
      <c r="AW49" s="38"/>
      <c r="AX49" s="39">
        <f t="shared" si="105"/>
        <v>0</v>
      </c>
      <c r="AY49" s="40"/>
      <c r="AZ49" s="36"/>
      <c r="BA49" s="37">
        <f t="shared" si="22"/>
        <v>0</v>
      </c>
      <c r="BB49" s="38"/>
      <c r="BC49" s="39">
        <f t="shared" si="106"/>
        <v>0</v>
      </c>
      <c r="BD49" s="38"/>
      <c r="BE49" s="39">
        <f t="shared" si="107"/>
        <v>0</v>
      </c>
      <c r="BF49" s="38"/>
      <c r="BG49" s="39">
        <f t="shared" si="108"/>
        <v>0</v>
      </c>
      <c r="BH49" s="38"/>
      <c r="BI49" s="39">
        <f t="shared" si="109"/>
        <v>0</v>
      </c>
      <c r="BJ49" s="40"/>
      <c r="BK49" s="36"/>
      <c r="BL49" s="37">
        <f t="shared" si="27"/>
        <v>0</v>
      </c>
      <c r="BM49" s="38"/>
      <c r="BN49" s="39">
        <f t="shared" si="110"/>
        <v>0</v>
      </c>
      <c r="BO49" s="38"/>
      <c r="BP49" s="39">
        <f t="shared" si="111"/>
        <v>0</v>
      </c>
      <c r="BQ49" s="38"/>
      <c r="BR49" s="39">
        <f t="shared" si="112"/>
        <v>0</v>
      </c>
      <c r="BS49" s="38"/>
      <c r="BT49" s="39">
        <f t="shared" si="113"/>
        <v>0</v>
      </c>
      <c r="BU49" s="40"/>
      <c r="BV49" s="36"/>
      <c r="BW49" s="37">
        <f t="shared" si="32"/>
        <v>0</v>
      </c>
      <c r="BX49" s="38"/>
      <c r="BY49" s="39">
        <f t="shared" si="114"/>
        <v>0</v>
      </c>
      <c r="BZ49" s="38"/>
      <c r="CA49" s="39">
        <f t="shared" si="115"/>
        <v>0</v>
      </c>
      <c r="CB49" s="38"/>
      <c r="CC49" s="39">
        <f t="shared" si="116"/>
        <v>0</v>
      </c>
      <c r="CD49" s="38"/>
      <c r="CE49" s="39">
        <f t="shared" si="117"/>
        <v>0</v>
      </c>
      <c r="CF49" s="40"/>
      <c r="CG49" s="36"/>
      <c r="CH49" s="37">
        <f t="shared" si="37"/>
        <v>0</v>
      </c>
      <c r="CI49" s="38"/>
      <c r="CJ49" s="39">
        <f t="shared" si="118"/>
        <v>0</v>
      </c>
      <c r="CK49" s="38"/>
      <c r="CL49" s="39">
        <f t="shared" si="119"/>
        <v>0</v>
      </c>
      <c r="CM49" s="38"/>
      <c r="CN49" s="39">
        <f t="shared" si="120"/>
        <v>0</v>
      </c>
      <c r="CO49" s="38"/>
      <c r="CP49" s="39">
        <f t="shared" si="121"/>
        <v>0</v>
      </c>
      <c r="CQ49" s="41">
        <f t="shared" si="88"/>
        <v>180000</v>
      </c>
      <c r="CR49" s="41">
        <f t="shared" si="89"/>
        <v>180000</v>
      </c>
      <c r="CS49" s="41">
        <f t="shared" si="42"/>
        <v>180000</v>
      </c>
      <c r="CT49" s="16">
        <f t="shared" si="122"/>
        <v>0</v>
      </c>
    </row>
    <row r="50" spans="1:98" x14ac:dyDescent="0.25">
      <c r="B50" s="46" t="s">
        <v>34</v>
      </c>
      <c r="C50" s="42" t="s">
        <v>33</v>
      </c>
      <c r="D50" s="53">
        <v>750</v>
      </c>
      <c r="E50" s="34">
        <v>-180.52631578947367</v>
      </c>
      <c r="F50" s="34">
        <v>-135394.73684210525</v>
      </c>
      <c r="G50" s="40"/>
      <c r="H50" s="36"/>
      <c r="I50" s="37">
        <f t="shared" si="2"/>
        <v>0</v>
      </c>
      <c r="J50" s="38"/>
      <c r="K50" s="39">
        <f t="shared" si="90"/>
        <v>0</v>
      </c>
      <c r="L50" s="38"/>
      <c r="M50" s="39">
        <f t="shared" si="91"/>
        <v>0</v>
      </c>
      <c r="N50" s="38"/>
      <c r="O50" s="39">
        <f t="shared" si="92"/>
        <v>0</v>
      </c>
      <c r="P50" s="38"/>
      <c r="Q50" s="39">
        <f t="shared" si="93"/>
        <v>0</v>
      </c>
      <c r="R50" s="40"/>
      <c r="S50" s="36"/>
      <c r="T50" s="37">
        <f t="shared" si="7"/>
        <v>0</v>
      </c>
      <c r="U50" s="38"/>
      <c r="V50" s="39">
        <f t="shared" si="94"/>
        <v>0</v>
      </c>
      <c r="W50" s="38"/>
      <c r="X50" s="39">
        <f t="shared" si="95"/>
        <v>0</v>
      </c>
      <c r="Y50" s="38"/>
      <c r="Z50" s="39">
        <f t="shared" si="96"/>
        <v>0</v>
      </c>
      <c r="AA50" s="38"/>
      <c r="AB50" s="39">
        <f t="shared" si="97"/>
        <v>0</v>
      </c>
      <c r="AC50" s="40"/>
      <c r="AD50" s="36">
        <v>0.8</v>
      </c>
      <c r="AE50" s="37">
        <f t="shared" si="12"/>
        <v>-108315.78947368421</v>
      </c>
      <c r="AF50" s="38"/>
      <c r="AG50" s="39">
        <f t="shared" si="98"/>
        <v>0</v>
      </c>
      <c r="AH50" s="38">
        <v>1</v>
      </c>
      <c r="AI50" s="39">
        <f t="shared" si="99"/>
        <v>-108315.78947368421</v>
      </c>
      <c r="AJ50" s="38"/>
      <c r="AK50" s="39">
        <f t="shared" si="100"/>
        <v>0</v>
      </c>
      <c r="AL50" s="38"/>
      <c r="AM50" s="39">
        <f t="shared" si="101"/>
        <v>0</v>
      </c>
      <c r="AN50" s="40"/>
      <c r="AO50" s="36">
        <v>0.2</v>
      </c>
      <c r="AP50" s="37">
        <f t="shared" si="17"/>
        <v>-27078.947368421053</v>
      </c>
      <c r="AQ50" s="38"/>
      <c r="AR50" s="39">
        <f t="shared" si="102"/>
        <v>0</v>
      </c>
      <c r="AS50" s="38">
        <v>1</v>
      </c>
      <c r="AT50" s="39">
        <f t="shared" si="103"/>
        <v>-27078.947368421053</v>
      </c>
      <c r="AU50" s="38"/>
      <c r="AV50" s="39">
        <f t="shared" si="104"/>
        <v>0</v>
      </c>
      <c r="AW50" s="38"/>
      <c r="AX50" s="39">
        <f t="shared" si="105"/>
        <v>0</v>
      </c>
      <c r="AY50" s="40"/>
      <c r="AZ50" s="36"/>
      <c r="BA50" s="37">
        <f t="shared" si="22"/>
        <v>0</v>
      </c>
      <c r="BB50" s="38"/>
      <c r="BC50" s="39">
        <f t="shared" si="106"/>
        <v>0</v>
      </c>
      <c r="BD50" s="38"/>
      <c r="BE50" s="39">
        <f t="shared" si="107"/>
        <v>0</v>
      </c>
      <c r="BF50" s="38"/>
      <c r="BG50" s="39">
        <f t="shared" si="108"/>
        <v>0</v>
      </c>
      <c r="BH50" s="38"/>
      <c r="BI50" s="39">
        <f t="shared" si="109"/>
        <v>0</v>
      </c>
      <c r="BJ50" s="40"/>
      <c r="BK50" s="36"/>
      <c r="BL50" s="37">
        <f t="shared" si="27"/>
        <v>0</v>
      </c>
      <c r="BM50" s="38"/>
      <c r="BN50" s="39">
        <f t="shared" si="110"/>
        <v>0</v>
      </c>
      <c r="BO50" s="38"/>
      <c r="BP50" s="39">
        <f t="shared" si="111"/>
        <v>0</v>
      </c>
      <c r="BQ50" s="38"/>
      <c r="BR50" s="39">
        <f t="shared" si="112"/>
        <v>0</v>
      </c>
      <c r="BS50" s="38"/>
      <c r="BT50" s="39">
        <f t="shared" si="113"/>
        <v>0</v>
      </c>
      <c r="BU50" s="40"/>
      <c r="BV50" s="36"/>
      <c r="BW50" s="37">
        <f t="shared" si="32"/>
        <v>0</v>
      </c>
      <c r="BX50" s="38"/>
      <c r="BY50" s="39">
        <f t="shared" si="114"/>
        <v>0</v>
      </c>
      <c r="BZ50" s="38"/>
      <c r="CA50" s="39">
        <f t="shared" si="115"/>
        <v>0</v>
      </c>
      <c r="CB50" s="38"/>
      <c r="CC50" s="39">
        <f t="shared" si="116"/>
        <v>0</v>
      </c>
      <c r="CD50" s="38"/>
      <c r="CE50" s="39">
        <f t="shared" si="117"/>
        <v>0</v>
      </c>
      <c r="CF50" s="40"/>
      <c r="CG50" s="36"/>
      <c r="CH50" s="37">
        <f t="shared" si="37"/>
        <v>0</v>
      </c>
      <c r="CI50" s="38"/>
      <c r="CJ50" s="39">
        <f t="shared" si="118"/>
        <v>0</v>
      </c>
      <c r="CK50" s="38"/>
      <c r="CL50" s="39">
        <f t="shared" si="119"/>
        <v>0</v>
      </c>
      <c r="CM50" s="38"/>
      <c r="CN50" s="39">
        <f t="shared" si="120"/>
        <v>0</v>
      </c>
      <c r="CO50" s="38"/>
      <c r="CP50" s="39">
        <f t="shared" si="121"/>
        <v>0</v>
      </c>
      <c r="CQ50" s="41">
        <f t="shared" si="88"/>
        <v>-135394.73684210525</v>
      </c>
      <c r="CR50" s="41">
        <f t="shared" si="89"/>
        <v>-135394.73684210528</v>
      </c>
      <c r="CS50" s="41">
        <f t="shared" si="42"/>
        <v>-135394.73684210528</v>
      </c>
      <c r="CT50" s="16">
        <f t="shared" si="122"/>
        <v>0</v>
      </c>
    </row>
    <row r="51" spans="1:98" x14ac:dyDescent="0.25">
      <c r="B51" s="46"/>
      <c r="C51" s="42"/>
      <c r="D51" s="53"/>
      <c r="E51" s="34"/>
      <c r="F51" s="34"/>
      <c r="G51" s="40"/>
      <c r="H51" s="36"/>
      <c r="I51" s="37"/>
      <c r="J51" s="38"/>
      <c r="K51" s="39"/>
      <c r="L51" s="38"/>
      <c r="M51" s="39"/>
      <c r="N51" s="38"/>
      <c r="O51" s="39"/>
      <c r="P51" s="38"/>
      <c r="Q51" s="39"/>
      <c r="R51" s="40"/>
      <c r="S51" s="36"/>
      <c r="T51" s="37"/>
      <c r="U51" s="38"/>
      <c r="V51" s="39"/>
      <c r="W51" s="38"/>
      <c r="X51" s="39"/>
      <c r="Y51" s="38"/>
      <c r="Z51" s="39"/>
      <c r="AA51" s="38"/>
      <c r="AB51" s="39"/>
      <c r="AC51" s="40"/>
      <c r="AD51" s="36"/>
      <c r="AE51" s="37"/>
      <c r="AF51" s="38"/>
      <c r="AG51" s="39"/>
      <c r="AH51" s="38"/>
      <c r="AI51" s="39"/>
      <c r="AJ51" s="38"/>
      <c r="AK51" s="39"/>
      <c r="AL51" s="38"/>
      <c r="AM51" s="39"/>
      <c r="AN51" s="40"/>
      <c r="AO51" s="36"/>
      <c r="AP51" s="37"/>
      <c r="AQ51" s="38"/>
      <c r="AR51" s="39"/>
      <c r="AS51" s="38"/>
      <c r="AT51" s="39"/>
      <c r="AU51" s="38"/>
      <c r="AV51" s="39"/>
      <c r="AW51" s="38"/>
      <c r="AX51" s="39"/>
      <c r="AY51" s="40"/>
      <c r="AZ51" s="36"/>
      <c r="BA51" s="37"/>
      <c r="BB51" s="38"/>
      <c r="BC51" s="39"/>
      <c r="BD51" s="38"/>
      <c r="BE51" s="39"/>
      <c r="BF51" s="38"/>
      <c r="BG51" s="39"/>
      <c r="BH51" s="38"/>
      <c r="BI51" s="39"/>
      <c r="BJ51" s="40"/>
      <c r="BK51" s="36"/>
      <c r="BL51" s="37"/>
      <c r="BM51" s="38"/>
      <c r="BN51" s="39"/>
      <c r="BO51" s="38"/>
      <c r="BP51" s="39"/>
      <c r="BQ51" s="38"/>
      <c r="BR51" s="39"/>
      <c r="BS51" s="38"/>
      <c r="BT51" s="39"/>
      <c r="BU51" s="40"/>
      <c r="BV51" s="36"/>
      <c r="BW51" s="37"/>
      <c r="BX51" s="38"/>
      <c r="BY51" s="39"/>
      <c r="BZ51" s="38"/>
      <c r="CA51" s="39"/>
      <c r="CB51" s="38"/>
      <c r="CC51" s="39"/>
      <c r="CD51" s="38"/>
      <c r="CE51" s="39"/>
      <c r="CF51" s="40"/>
      <c r="CG51" s="36"/>
      <c r="CH51" s="37"/>
      <c r="CI51" s="38"/>
      <c r="CJ51" s="39"/>
      <c r="CK51" s="38"/>
      <c r="CL51" s="39"/>
      <c r="CM51" s="38"/>
      <c r="CN51" s="39"/>
      <c r="CO51" s="38"/>
      <c r="CP51" s="39"/>
      <c r="CQ51" s="41"/>
      <c r="CR51" s="41"/>
      <c r="CS51" s="41">
        <f t="shared" si="42"/>
        <v>0</v>
      </c>
      <c r="CT51" s="16"/>
    </row>
    <row r="52" spans="1:98" x14ac:dyDescent="0.25">
      <c r="A52" s="1" t="s">
        <v>197</v>
      </c>
      <c r="C52" s="45"/>
      <c r="D52" s="53"/>
      <c r="E52" s="50"/>
      <c r="F52" s="34">
        <v>0</v>
      </c>
      <c r="G52" s="40"/>
      <c r="H52" s="36"/>
      <c r="I52" s="37">
        <f t="shared" ref="I52:I70" si="123">H52*$F52</f>
        <v>0</v>
      </c>
      <c r="J52" s="38"/>
      <c r="K52" s="39">
        <f t="shared" ref="K52:K70" si="124">J52*I52</f>
        <v>0</v>
      </c>
      <c r="L52" s="38"/>
      <c r="M52" s="39">
        <f t="shared" ref="M52:M70" si="125">L52*I52</f>
        <v>0</v>
      </c>
      <c r="N52" s="38"/>
      <c r="O52" s="39">
        <f t="shared" ref="O52:O70" si="126">N52*I52</f>
        <v>0</v>
      </c>
      <c r="P52" s="38"/>
      <c r="Q52" s="39">
        <f t="shared" ref="Q52:Q70" si="127">P52*I52</f>
        <v>0</v>
      </c>
      <c r="R52" s="40"/>
      <c r="S52" s="36"/>
      <c r="T52" s="37">
        <f t="shared" ref="T52:T70" si="128">S52*$F52</f>
        <v>0</v>
      </c>
      <c r="U52" s="38"/>
      <c r="V52" s="39">
        <f t="shared" ref="V52:V70" si="129">U52*T52</f>
        <v>0</v>
      </c>
      <c r="W52" s="38"/>
      <c r="X52" s="39">
        <f t="shared" ref="X52:X70" si="130">W52*T52</f>
        <v>0</v>
      </c>
      <c r="Y52" s="38"/>
      <c r="Z52" s="39">
        <f t="shared" ref="Z52:Z70" si="131">Y52*T52</f>
        <v>0</v>
      </c>
      <c r="AA52" s="38"/>
      <c r="AB52" s="39">
        <f t="shared" ref="AB52:AB70" si="132">AA52*T52</f>
        <v>0</v>
      </c>
      <c r="AC52" s="40"/>
      <c r="AD52" s="36"/>
      <c r="AE52" s="37">
        <f t="shared" ref="AE52:AE70" si="133">AD52*$F52</f>
        <v>0</v>
      </c>
      <c r="AF52" s="38"/>
      <c r="AG52" s="39">
        <f t="shared" ref="AG52:AG70" si="134">AF52*AE52</f>
        <v>0</v>
      </c>
      <c r="AH52" s="38"/>
      <c r="AI52" s="39">
        <f t="shared" ref="AI52:AI70" si="135">AH52*AE52</f>
        <v>0</v>
      </c>
      <c r="AJ52" s="38"/>
      <c r="AK52" s="39">
        <f t="shared" ref="AK52:AK70" si="136">AJ52*AE52</f>
        <v>0</v>
      </c>
      <c r="AL52" s="38"/>
      <c r="AM52" s="39">
        <f t="shared" ref="AM52:AM70" si="137">AL52*AE52</f>
        <v>0</v>
      </c>
      <c r="AN52" s="40"/>
      <c r="AO52" s="36"/>
      <c r="AP52" s="37">
        <f t="shared" ref="AP52:AP70" si="138">AO52*$F52</f>
        <v>0</v>
      </c>
      <c r="AQ52" s="38"/>
      <c r="AR52" s="39">
        <f t="shared" ref="AR52:AR70" si="139">AQ52*AP52</f>
        <v>0</v>
      </c>
      <c r="AS52" s="38"/>
      <c r="AT52" s="39">
        <f t="shared" ref="AT52:AT70" si="140">AS52*AP52</f>
        <v>0</v>
      </c>
      <c r="AU52" s="38"/>
      <c r="AV52" s="39">
        <f t="shared" ref="AV52:AV70" si="141">AU52*AP52</f>
        <v>0</v>
      </c>
      <c r="AW52" s="38"/>
      <c r="AX52" s="39">
        <f t="shared" ref="AX52:AX70" si="142">AW52*AP52</f>
        <v>0</v>
      </c>
      <c r="AY52" s="40"/>
      <c r="AZ52" s="36"/>
      <c r="BA52" s="37">
        <f t="shared" ref="BA52:BA70" si="143">AZ52*$F52</f>
        <v>0</v>
      </c>
      <c r="BB52" s="38"/>
      <c r="BC52" s="39">
        <f t="shared" ref="BC52:BC70" si="144">BB52*BA52</f>
        <v>0</v>
      </c>
      <c r="BD52" s="38"/>
      <c r="BE52" s="39">
        <f t="shared" ref="BE52:BE70" si="145">BD52*BA52</f>
        <v>0</v>
      </c>
      <c r="BF52" s="38"/>
      <c r="BG52" s="39">
        <f t="shared" ref="BG52:BG70" si="146">BF52*BA52</f>
        <v>0</v>
      </c>
      <c r="BH52" s="38"/>
      <c r="BI52" s="39">
        <f t="shared" ref="BI52:BI70" si="147">BH52*BA52</f>
        <v>0</v>
      </c>
      <c r="BJ52" s="40"/>
      <c r="BK52" s="36"/>
      <c r="BL52" s="37">
        <f t="shared" ref="BL52:BL70" si="148">BK52*$F52</f>
        <v>0</v>
      </c>
      <c r="BM52" s="38"/>
      <c r="BN52" s="39">
        <f t="shared" ref="BN52:BN70" si="149">BM52*BL52</f>
        <v>0</v>
      </c>
      <c r="BO52" s="38"/>
      <c r="BP52" s="39">
        <f t="shared" ref="BP52:BP70" si="150">BO52*BL52</f>
        <v>0</v>
      </c>
      <c r="BQ52" s="38"/>
      <c r="BR52" s="39">
        <f t="shared" ref="BR52:BR70" si="151">BQ52*BL52</f>
        <v>0</v>
      </c>
      <c r="BS52" s="38"/>
      <c r="BT52" s="39">
        <f t="shared" ref="BT52:BT70" si="152">BS52*BL52</f>
        <v>0</v>
      </c>
      <c r="BU52" s="40"/>
      <c r="BV52" s="36"/>
      <c r="BW52" s="37">
        <f t="shared" ref="BW52:BW70" si="153">BV52*$F52</f>
        <v>0</v>
      </c>
      <c r="BX52" s="38"/>
      <c r="BY52" s="39">
        <f t="shared" ref="BY52:BY70" si="154">BX52*BW52</f>
        <v>0</v>
      </c>
      <c r="BZ52" s="38"/>
      <c r="CA52" s="39">
        <f t="shared" ref="CA52:CA70" si="155">BZ52*BW52</f>
        <v>0</v>
      </c>
      <c r="CB52" s="38"/>
      <c r="CC52" s="39">
        <f t="shared" ref="CC52:CC70" si="156">CB52*BW52</f>
        <v>0</v>
      </c>
      <c r="CD52" s="38"/>
      <c r="CE52" s="39">
        <f t="shared" ref="CE52:CE70" si="157">CD52*BW52</f>
        <v>0</v>
      </c>
      <c r="CF52" s="40"/>
      <c r="CG52" s="36"/>
      <c r="CH52" s="37">
        <f t="shared" ref="CH52:CH70" si="158">CG52*$F52</f>
        <v>0</v>
      </c>
      <c r="CI52" s="38"/>
      <c r="CJ52" s="39">
        <f t="shared" ref="CJ52:CJ70" si="159">CI52*CH52</f>
        <v>0</v>
      </c>
      <c r="CK52" s="38"/>
      <c r="CL52" s="39">
        <f t="shared" ref="CL52:CL70" si="160">CK52*CH52</f>
        <v>0</v>
      </c>
      <c r="CM52" s="38"/>
      <c r="CN52" s="39">
        <f t="shared" ref="CN52:CN70" si="161">CM52*CH52</f>
        <v>0</v>
      </c>
      <c r="CO52" s="38"/>
      <c r="CP52" s="39">
        <f t="shared" ref="CP52:CP70" si="162">CO52*CH52</f>
        <v>0</v>
      </c>
      <c r="CQ52" s="41">
        <f t="shared" ref="CQ52:CQ73" si="163">F52</f>
        <v>0</v>
      </c>
      <c r="CR52" s="41">
        <f t="shared" ref="CR52:CR73" si="164">I52+T52+AE52+AP52+BA52+BL52+BW52+CH52</f>
        <v>0</v>
      </c>
      <c r="CS52" s="41">
        <f t="shared" si="42"/>
        <v>0</v>
      </c>
      <c r="CT52" s="16">
        <f t="shared" ref="CT52:CT71" si="165">IF(AND(CQ52=CR52,CR52=CS52,CQ52=CS52),0,1)</f>
        <v>0</v>
      </c>
    </row>
    <row r="53" spans="1:98" x14ac:dyDescent="0.25">
      <c r="B53" s="44" t="s">
        <v>45</v>
      </c>
      <c r="C53" s="42" t="s">
        <v>33</v>
      </c>
      <c r="D53" s="53">
        <v>3340</v>
      </c>
      <c r="E53" s="50">
        <v>240</v>
      </c>
      <c r="F53" s="34">
        <v>801600</v>
      </c>
      <c r="G53" s="40"/>
      <c r="H53" s="36"/>
      <c r="I53" s="37">
        <f t="shared" si="123"/>
        <v>0</v>
      </c>
      <c r="J53" s="38"/>
      <c r="K53" s="39">
        <f t="shared" si="124"/>
        <v>0</v>
      </c>
      <c r="L53" s="38"/>
      <c r="M53" s="39">
        <f t="shared" si="125"/>
        <v>0</v>
      </c>
      <c r="N53" s="38"/>
      <c r="O53" s="39">
        <f t="shared" si="126"/>
        <v>0</v>
      </c>
      <c r="P53" s="38"/>
      <c r="Q53" s="39">
        <f t="shared" si="127"/>
        <v>0</v>
      </c>
      <c r="R53" s="40"/>
      <c r="S53" s="36"/>
      <c r="T53" s="37">
        <f t="shared" si="128"/>
        <v>0</v>
      </c>
      <c r="U53" s="38"/>
      <c r="V53" s="39">
        <f t="shared" si="129"/>
        <v>0</v>
      </c>
      <c r="W53" s="38"/>
      <c r="X53" s="39">
        <f t="shared" si="130"/>
        <v>0</v>
      </c>
      <c r="Y53" s="38"/>
      <c r="Z53" s="39">
        <f t="shared" si="131"/>
        <v>0</v>
      </c>
      <c r="AA53" s="38"/>
      <c r="AB53" s="39">
        <f t="shared" si="132"/>
        <v>0</v>
      </c>
      <c r="AC53" s="40"/>
      <c r="AD53" s="36"/>
      <c r="AE53" s="37">
        <f t="shared" si="133"/>
        <v>0</v>
      </c>
      <c r="AF53" s="38"/>
      <c r="AG53" s="39">
        <f t="shared" si="134"/>
        <v>0</v>
      </c>
      <c r="AH53" s="38"/>
      <c r="AI53" s="39">
        <f t="shared" si="135"/>
        <v>0</v>
      </c>
      <c r="AJ53" s="38"/>
      <c r="AK53" s="39">
        <f t="shared" si="136"/>
        <v>0</v>
      </c>
      <c r="AL53" s="38"/>
      <c r="AM53" s="39">
        <f t="shared" si="137"/>
        <v>0</v>
      </c>
      <c r="AN53" s="40"/>
      <c r="AO53" s="36">
        <v>0.95</v>
      </c>
      <c r="AP53" s="37">
        <f t="shared" si="138"/>
        <v>761520</v>
      </c>
      <c r="AQ53" s="38"/>
      <c r="AR53" s="39">
        <f t="shared" si="139"/>
        <v>0</v>
      </c>
      <c r="AS53" s="38"/>
      <c r="AT53" s="39">
        <f t="shared" si="140"/>
        <v>0</v>
      </c>
      <c r="AU53" s="38">
        <v>1</v>
      </c>
      <c r="AV53" s="39">
        <f t="shared" si="141"/>
        <v>761520</v>
      </c>
      <c r="AW53" s="38"/>
      <c r="AX53" s="39">
        <f t="shared" si="142"/>
        <v>0</v>
      </c>
      <c r="AY53" s="40"/>
      <c r="AZ53" s="36"/>
      <c r="BA53" s="37">
        <f t="shared" si="143"/>
        <v>0</v>
      </c>
      <c r="BB53" s="38"/>
      <c r="BC53" s="39">
        <f t="shared" si="144"/>
        <v>0</v>
      </c>
      <c r="BD53" s="38"/>
      <c r="BE53" s="39">
        <f t="shared" si="145"/>
        <v>0</v>
      </c>
      <c r="BF53" s="38"/>
      <c r="BG53" s="39">
        <f t="shared" si="146"/>
        <v>0</v>
      </c>
      <c r="BH53" s="38"/>
      <c r="BI53" s="39">
        <f t="shared" si="147"/>
        <v>0</v>
      </c>
      <c r="BJ53" s="40"/>
      <c r="BK53" s="36">
        <v>0.05</v>
      </c>
      <c r="BL53" s="37">
        <f t="shared" si="148"/>
        <v>40080</v>
      </c>
      <c r="BM53" s="38"/>
      <c r="BN53" s="39">
        <f t="shared" si="149"/>
        <v>0</v>
      </c>
      <c r="BO53" s="38"/>
      <c r="BP53" s="39">
        <f t="shared" si="150"/>
        <v>0</v>
      </c>
      <c r="BQ53" s="57">
        <v>1</v>
      </c>
      <c r="BR53" s="39">
        <f t="shared" si="151"/>
        <v>40080</v>
      </c>
      <c r="BS53" s="38"/>
      <c r="BT53" s="39">
        <f t="shared" si="152"/>
        <v>0</v>
      </c>
      <c r="BU53" s="40"/>
      <c r="BV53" s="36"/>
      <c r="BW53" s="37">
        <f t="shared" si="153"/>
        <v>0</v>
      </c>
      <c r="BX53" s="38"/>
      <c r="BY53" s="39">
        <f t="shared" si="154"/>
        <v>0</v>
      </c>
      <c r="BZ53" s="38"/>
      <c r="CA53" s="39">
        <f t="shared" si="155"/>
        <v>0</v>
      </c>
      <c r="CB53" s="38"/>
      <c r="CC53" s="39">
        <f t="shared" si="156"/>
        <v>0</v>
      </c>
      <c r="CD53" s="38"/>
      <c r="CE53" s="39">
        <f t="shared" si="157"/>
        <v>0</v>
      </c>
      <c r="CF53" s="40"/>
      <c r="CG53" s="36"/>
      <c r="CH53" s="37">
        <f t="shared" si="158"/>
        <v>0</v>
      </c>
      <c r="CI53" s="38"/>
      <c r="CJ53" s="39">
        <f t="shared" si="159"/>
        <v>0</v>
      </c>
      <c r="CK53" s="38"/>
      <c r="CL53" s="39">
        <f t="shared" si="160"/>
        <v>0</v>
      </c>
      <c r="CM53" s="38"/>
      <c r="CN53" s="39">
        <f t="shared" si="161"/>
        <v>0</v>
      </c>
      <c r="CO53" s="38"/>
      <c r="CP53" s="39">
        <f t="shared" si="162"/>
        <v>0</v>
      </c>
      <c r="CQ53" s="41">
        <f t="shared" si="163"/>
        <v>801600</v>
      </c>
      <c r="CR53" s="41">
        <f t="shared" si="164"/>
        <v>801600</v>
      </c>
      <c r="CS53" s="41">
        <f t="shared" si="42"/>
        <v>801600</v>
      </c>
      <c r="CT53" s="16">
        <f t="shared" si="165"/>
        <v>0</v>
      </c>
    </row>
    <row r="54" spans="1:98" x14ac:dyDescent="0.25">
      <c r="B54" s="44" t="s">
        <v>46</v>
      </c>
      <c r="C54" s="42" t="s">
        <v>33</v>
      </c>
      <c r="D54" s="53">
        <v>3340</v>
      </c>
      <c r="E54" s="34">
        <v>-180.52631578947367</v>
      </c>
      <c r="F54" s="34">
        <v>-602957.89473684202</v>
      </c>
      <c r="G54" s="40"/>
      <c r="H54" s="36"/>
      <c r="I54" s="37">
        <f t="shared" si="123"/>
        <v>0</v>
      </c>
      <c r="J54" s="38"/>
      <c r="K54" s="39">
        <f t="shared" si="124"/>
        <v>0</v>
      </c>
      <c r="L54" s="38"/>
      <c r="M54" s="39">
        <f t="shared" si="125"/>
        <v>0</v>
      </c>
      <c r="N54" s="38"/>
      <c r="O54" s="39">
        <f t="shared" si="126"/>
        <v>0</v>
      </c>
      <c r="P54" s="38"/>
      <c r="Q54" s="39">
        <f t="shared" si="127"/>
        <v>0</v>
      </c>
      <c r="R54" s="40"/>
      <c r="S54" s="36"/>
      <c r="T54" s="37">
        <f t="shared" si="128"/>
        <v>0</v>
      </c>
      <c r="U54" s="38"/>
      <c r="V54" s="39">
        <f t="shared" si="129"/>
        <v>0</v>
      </c>
      <c r="W54" s="38"/>
      <c r="X54" s="39">
        <f t="shared" si="130"/>
        <v>0</v>
      </c>
      <c r="Y54" s="38"/>
      <c r="Z54" s="39">
        <f t="shared" si="131"/>
        <v>0</v>
      </c>
      <c r="AA54" s="38"/>
      <c r="AB54" s="39">
        <f t="shared" si="132"/>
        <v>0</v>
      </c>
      <c r="AC54" s="40"/>
      <c r="AD54" s="36"/>
      <c r="AE54" s="37">
        <f t="shared" si="133"/>
        <v>0</v>
      </c>
      <c r="AF54" s="38"/>
      <c r="AG54" s="39">
        <f t="shared" si="134"/>
        <v>0</v>
      </c>
      <c r="AH54" s="38"/>
      <c r="AI54" s="39">
        <f t="shared" si="135"/>
        <v>0</v>
      </c>
      <c r="AJ54" s="38"/>
      <c r="AK54" s="39">
        <f t="shared" si="136"/>
        <v>0</v>
      </c>
      <c r="AL54" s="38"/>
      <c r="AM54" s="39">
        <f t="shared" si="137"/>
        <v>0</v>
      </c>
      <c r="AN54" s="40"/>
      <c r="AO54" s="36">
        <v>0.95</v>
      </c>
      <c r="AP54" s="37">
        <f t="shared" si="138"/>
        <v>-572809.99999999988</v>
      </c>
      <c r="AQ54" s="38"/>
      <c r="AR54" s="39">
        <f t="shared" si="139"/>
        <v>0</v>
      </c>
      <c r="AS54" s="38"/>
      <c r="AT54" s="39">
        <f t="shared" si="140"/>
        <v>0</v>
      </c>
      <c r="AU54" s="38">
        <v>1</v>
      </c>
      <c r="AV54" s="39">
        <f t="shared" si="141"/>
        <v>-572809.99999999988</v>
      </c>
      <c r="AW54" s="38"/>
      <c r="AX54" s="39">
        <f t="shared" si="142"/>
        <v>0</v>
      </c>
      <c r="AY54" s="40"/>
      <c r="AZ54" s="36"/>
      <c r="BA54" s="37">
        <f t="shared" si="143"/>
        <v>0</v>
      </c>
      <c r="BB54" s="38"/>
      <c r="BC54" s="39">
        <f t="shared" si="144"/>
        <v>0</v>
      </c>
      <c r="BD54" s="38"/>
      <c r="BE54" s="39">
        <f t="shared" si="145"/>
        <v>0</v>
      </c>
      <c r="BF54" s="38"/>
      <c r="BG54" s="39">
        <f t="shared" si="146"/>
        <v>0</v>
      </c>
      <c r="BH54" s="38"/>
      <c r="BI54" s="39">
        <f t="shared" si="147"/>
        <v>0</v>
      </c>
      <c r="BJ54" s="40"/>
      <c r="BK54" s="36">
        <v>0.05</v>
      </c>
      <c r="BL54" s="37">
        <f t="shared" si="148"/>
        <v>-30147.894736842103</v>
      </c>
      <c r="BM54" s="38"/>
      <c r="BN54" s="39">
        <f t="shared" si="149"/>
        <v>0</v>
      </c>
      <c r="BO54" s="38"/>
      <c r="BP54" s="39">
        <f t="shared" si="150"/>
        <v>0</v>
      </c>
      <c r="BQ54" s="57">
        <v>1</v>
      </c>
      <c r="BR54" s="39">
        <f t="shared" si="151"/>
        <v>-30147.894736842103</v>
      </c>
      <c r="BS54" s="38"/>
      <c r="BT54" s="39">
        <f t="shared" si="152"/>
        <v>0</v>
      </c>
      <c r="BU54" s="40"/>
      <c r="BV54" s="36"/>
      <c r="BW54" s="37">
        <f t="shared" si="153"/>
        <v>0</v>
      </c>
      <c r="BX54" s="38"/>
      <c r="BY54" s="39">
        <f t="shared" si="154"/>
        <v>0</v>
      </c>
      <c r="BZ54" s="38"/>
      <c r="CA54" s="39">
        <f t="shared" si="155"/>
        <v>0</v>
      </c>
      <c r="CB54" s="38"/>
      <c r="CC54" s="39">
        <f t="shared" si="156"/>
        <v>0</v>
      </c>
      <c r="CD54" s="38"/>
      <c r="CE54" s="39">
        <f t="shared" si="157"/>
        <v>0</v>
      </c>
      <c r="CF54" s="40"/>
      <c r="CG54" s="36"/>
      <c r="CH54" s="37">
        <f t="shared" si="158"/>
        <v>0</v>
      </c>
      <c r="CI54" s="38"/>
      <c r="CJ54" s="39">
        <f t="shared" si="159"/>
        <v>0</v>
      </c>
      <c r="CK54" s="38"/>
      <c r="CL54" s="39">
        <f t="shared" si="160"/>
        <v>0</v>
      </c>
      <c r="CM54" s="38"/>
      <c r="CN54" s="39">
        <f t="shared" si="161"/>
        <v>0</v>
      </c>
      <c r="CO54" s="38"/>
      <c r="CP54" s="39">
        <f t="shared" si="162"/>
        <v>0</v>
      </c>
      <c r="CQ54" s="41">
        <f t="shared" si="163"/>
        <v>-602957.89473684202</v>
      </c>
      <c r="CR54" s="41">
        <f t="shared" si="164"/>
        <v>-602957.89473684202</v>
      </c>
      <c r="CS54" s="41">
        <f t="shared" si="42"/>
        <v>-602957.89473684202</v>
      </c>
      <c r="CT54" s="16">
        <f t="shared" si="165"/>
        <v>0</v>
      </c>
    </row>
    <row r="55" spans="1:98" x14ac:dyDescent="0.25">
      <c r="B55" s="51" t="s">
        <v>41</v>
      </c>
      <c r="C55" s="54" t="s">
        <v>33</v>
      </c>
      <c r="D55" s="53">
        <v>92</v>
      </c>
      <c r="E55" s="34">
        <v>65</v>
      </c>
      <c r="F55" s="34">
        <v>5980</v>
      </c>
      <c r="G55" s="55"/>
      <c r="H55" s="36"/>
      <c r="I55" s="37">
        <f t="shared" si="123"/>
        <v>0</v>
      </c>
      <c r="J55" s="38"/>
      <c r="K55" s="39">
        <f t="shared" si="124"/>
        <v>0</v>
      </c>
      <c r="L55" s="38"/>
      <c r="M55" s="39">
        <f t="shared" si="125"/>
        <v>0</v>
      </c>
      <c r="N55" s="38"/>
      <c r="O55" s="39">
        <f t="shared" si="126"/>
        <v>0</v>
      </c>
      <c r="P55" s="38"/>
      <c r="Q55" s="39">
        <f t="shared" si="127"/>
        <v>0</v>
      </c>
      <c r="R55" s="55"/>
      <c r="S55" s="56">
        <v>0.14285714285714288</v>
      </c>
      <c r="T55" s="37">
        <f t="shared" si="128"/>
        <v>854.28571428571445</v>
      </c>
      <c r="U55" s="57"/>
      <c r="V55" s="39">
        <f t="shared" si="129"/>
        <v>0</v>
      </c>
      <c r="W55" s="57"/>
      <c r="X55" s="39">
        <f t="shared" si="130"/>
        <v>0</v>
      </c>
      <c r="Y55" s="57">
        <v>1</v>
      </c>
      <c r="Z55" s="39">
        <f t="shared" si="131"/>
        <v>854.28571428571445</v>
      </c>
      <c r="AA55" s="57"/>
      <c r="AB55" s="39">
        <f t="shared" si="132"/>
        <v>0</v>
      </c>
      <c r="AC55" s="55"/>
      <c r="AD55" s="56">
        <v>0.14285714285714288</v>
      </c>
      <c r="AE55" s="37">
        <f t="shared" si="133"/>
        <v>854.28571428571445</v>
      </c>
      <c r="AF55" s="57"/>
      <c r="AG55" s="39">
        <f t="shared" si="134"/>
        <v>0</v>
      </c>
      <c r="AH55" s="57"/>
      <c r="AI55" s="39">
        <f t="shared" si="135"/>
        <v>0</v>
      </c>
      <c r="AJ55" s="57">
        <v>1</v>
      </c>
      <c r="AK55" s="39">
        <f t="shared" si="136"/>
        <v>854.28571428571445</v>
      </c>
      <c r="AL55" s="57"/>
      <c r="AM55" s="39">
        <f t="shared" si="137"/>
        <v>0</v>
      </c>
      <c r="AN55" s="55"/>
      <c r="AO55" s="56">
        <v>0.14285714285714288</v>
      </c>
      <c r="AP55" s="37">
        <f t="shared" si="138"/>
        <v>854.28571428571445</v>
      </c>
      <c r="AQ55" s="57"/>
      <c r="AR55" s="39">
        <f t="shared" si="139"/>
        <v>0</v>
      </c>
      <c r="AS55" s="57"/>
      <c r="AT55" s="39">
        <f t="shared" si="140"/>
        <v>0</v>
      </c>
      <c r="AU55" s="38">
        <v>1</v>
      </c>
      <c r="AV55" s="39">
        <f t="shared" si="141"/>
        <v>854.28571428571445</v>
      </c>
      <c r="AW55" s="57"/>
      <c r="AX55" s="39">
        <f t="shared" si="142"/>
        <v>0</v>
      </c>
      <c r="AY55" s="55"/>
      <c r="AZ55" s="56">
        <v>0.14285714285714288</v>
      </c>
      <c r="BA55" s="37">
        <f t="shared" si="143"/>
        <v>854.28571428571445</v>
      </c>
      <c r="BB55" s="57"/>
      <c r="BC55" s="39">
        <f t="shared" si="144"/>
        <v>0</v>
      </c>
      <c r="BD55" s="57"/>
      <c r="BE55" s="39">
        <f t="shared" si="145"/>
        <v>0</v>
      </c>
      <c r="BF55" s="57">
        <v>1</v>
      </c>
      <c r="BG55" s="39">
        <f t="shared" si="146"/>
        <v>854.28571428571445</v>
      </c>
      <c r="BH55" s="57"/>
      <c r="BI55" s="39">
        <f t="shared" si="147"/>
        <v>0</v>
      </c>
      <c r="BJ55" s="55"/>
      <c r="BK55" s="56">
        <v>0.14285714285714288</v>
      </c>
      <c r="BL55" s="37">
        <f t="shared" si="148"/>
        <v>854.28571428571445</v>
      </c>
      <c r="BM55" s="57"/>
      <c r="BN55" s="39">
        <f t="shared" si="149"/>
        <v>0</v>
      </c>
      <c r="BO55" s="57"/>
      <c r="BP55" s="39">
        <f t="shared" si="150"/>
        <v>0</v>
      </c>
      <c r="BQ55" s="57">
        <v>1</v>
      </c>
      <c r="BR55" s="39">
        <f t="shared" si="151"/>
        <v>854.28571428571445</v>
      </c>
      <c r="BS55" s="57"/>
      <c r="BT55" s="39">
        <f t="shared" si="152"/>
        <v>0</v>
      </c>
      <c r="BU55" s="55"/>
      <c r="BV55" s="56">
        <v>0.14285714285714288</v>
      </c>
      <c r="BW55" s="37">
        <f t="shared" si="153"/>
        <v>854.28571428571445</v>
      </c>
      <c r="BX55" s="57"/>
      <c r="BY55" s="39">
        <f t="shared" si="154"/>
        <v>0</v>
      </c>
      <c r="BZ55" s="57"/>
      <c r="CA55" s="39">
        <f t="shared" si="155"/>
        <v>0</v>
      </c>
      <c r="CB55" s="57">
        <v>1</v>
      </c>
      <c r="CC55" s="39">
        <f t="shared" si="156"/>
        <v>854.28571428571445</v>
      </c>
      <c r="CD55" s="57"/>
      <c r="CE55" s="39">
        <f t="shared" si="157"/>
        <v>0</v>
      </c>
      <c r="CF55" s="55"/>
      <c r="CG55" s="56">
        <v>0.14285714285714288</v>
      </c>
      <c r="CH55" s="37">
        <f t="shared" si="158"/>
        <v>854.28571428571445</v>
      </c>
      <c r="CI55" s="57"/>
      <c r="CJ55" s="39">
        <f t="shared" si="159"/>
        <v>0</v>
      </c>
      <c r="CK55" s="57"/>
      <c r="CL55" s="39">
        <f t="shared" si="160"/>
        <v>0</v>
      </c>
      <c r="CM55" s="57">
        <v>1</v>
      </c>
      <c r="CN55" s="39">
        <f t="shared" si="161"/>
        <v>854.28571428571445</v>
      </c>
      <c r="CO55" s="57"/>
      <c r="CP55" s="39">
        <f t="shared" si="162"/>
        <v>0</v>
      </c>
      <c r="CQ55" s="41">
        <f t="shared" si="163"/>
        <v>5980</v>
      </c>
      <c r="CR55" s="41">
        <f t="shared" si="164"/>
        <v>5980.0000000000018</v>
      </c>
      <c r="CS55" s="41">
        <f t="shared" si="42"/>
        <v>5980.0000000000018</v>
      </c>
      <c r="CT55" s="16">
        <f t="shared" si="165"/>
        <v>0</v>
      </c>
    </row>
    <row r="56" spans="1:98" x14ac:dyDescent="0.25">
      <c r="B56" s="46" t="s">
        <v>194</v>
      </c>
      <c r="C56" s="54" t="s">
        <v>33</v>
      </c>
      <c r="D56" s="53">
        <v>150</v>
      </c>
      <c r="E56" s="34">
        <v>-460.98461538461538</v>
      </c>
      <c r="F56" s="34">
        <v>-69147.692307692312</v>
      </c>
      <c r="G56" s="55"/>
      <c r="H56" s="36"/>
      <c r="I56" s="37">
        <f t="shared" si="123"/>
        <v>0</v>
      </c>
      <c r="J56" s="38"/>
      <c r="K56" s="39">
        <f t="shared" si="124"/>
        <v>0</v>
      </c>
      <c r="L56" s="38"/>
      <c r="M56" s="39">
        <f t="shared" si="125"/>
        <v>0</v>
      </c>
      <c r="N56" s="38"/>
      <c r="O56" s="39">
        <f t="shared" si="126"/>
        <v>0</v>
      </c>
      <c r="P56" s="38"/>
      <c r="Q56" s="39">
        <f t="shared" si="127"/>
        <v>0</v>
      </c>
      <c r="R56" s="55"/>
      <c r="S56" s="56"/>
      <c r="T56" s="37">
        <f t="shared" si="128"/>
        <v>0</v>
      </c>
      <c r="U56" s="57"/>
      <c r="V56" s="39">
        <f t="shared" si="129"/>
        <v>0</v>
      </c>
      <c r="W56" s="57"/>
      <c r="X56" s="39">
        <f t="shared" si="130"/>
        <v>0</v>
      </c>
      <c r="Y56" s="57"/>
      <c r="Z56" s="39">
        <f t="shared" si="131"/>
        <v>0</v>
      </c>
      <c r="AA56" s="57"/>
      <c r="AB56" s="39">
        <f t="shared" si="132"/>
        <v>0</v>
      </c>
      <c r="AC56" s="55"/>
      <c r="AD56" s="56"/>
      <c r="AE56" s="37">
        <f t="shared" si="133"/>
        <v>0</v>
      </c>
      <c r="AF56" s="57"/>
      <c r="AG56" s="39">
        <f t="shared" si="134"/>
        <v>0</v>
      </c>
      <c r="AH56" s="57"/>
      <c r="AI56" s="39">
        <f t="shared" si="135"/>
        <v>0</v>
      </c>
      <c r="AJ56" s="57"/>
      <c r="AK56" s="39">
        <f t="shared" si="136"/>
        <v>0</v>
      </c>
      <c r="AL56" s="57"/>
      <c r="AM56" s="39">
        <f t="shared" si="137"/>
        <v>0</v>
      </c>
      <c r="AN56" s="55"/>
      <c r="AO56" s="56"/>
      <c r="AP56" s="37">
        <f t="shared" si="138"/>
        <v>0</v>
      </c>
      <c r="AQ56" s="57"/>
      <c r="AR56" s="39">
        <f t="shared" si="139"/>
        <v>0</v>
      </c>
      <c r="AS56" s="57"/>
      <c r="AT56" s="39">
        <f t="shared" si="140"/>
        <v>0</v>
      </c>
      <c r="AU56" s="38"/>
      <c r="AV56" s="39">
        <f t="shared" si="141"/>
        <v>0</v>
      </c>
      <c r="AW56" s="57"/>
      <c r="AX56" s="39">
        <f t="shared" si="142"/>
        <v>0</v>
      </c>
      <c r="AY56" s="55"/>
      <c r="AZ56" s="56"/>
      <c r="BA56" s="37">
        <f t="shared" si="143"/>
        <v>0</v>
      </c>
      <c r="BB56" s="57"/>
      <c r="BC56" s="39">
        <f t="shared" si="144"/>
        <v>0</v>
      </c>
      <c r="BD56" s="57"/>
      <c r="BE56" s="39">
        <f t="shared" si="145"/>
        <v>0</v>
      </c>
      <c r="BF56" s="57"/>
      <c r="BG56" s="39">
        <f t="shared" si="146"/>
        <v>0</v>
      </c>
      <c r="BH56" s="57"/>
      <c r="BI56" s="39">
        <f t="shared" si="147"/>
        <v>0</v>
      </c>
      <c r="BJ56" s="55"/>
      <c r="BK56" s="56">
        <v>1</v>
      </c>
      <c r="BL56" s="37">
        <f t="shared" si="148"/>
        <v>-69147.692307692312</v>
      </c>
      <c r="BM56" s="57"/>
      <c r="BN56" s="39">
        <f t="shared" si="149"/>
        <v>0</v>
      </c>
      <c r="BO56" s="57"/>
      <c r="BP56" s="39">
        <f t="shared" si="150"/>
        <v>0</v>
      </c>
      <c r="BQ56" s="57">
        <v>1</v>
      </c>
      <c r="BR56" s="39">
        <f t="shared" si="151"/>
        <v>-69147.692307692312</v>
      </c>
      <c r="BS56" s="57"/>
      <c r="BT56" s="39">
        <f t="shared" si="152"/>
        <v>0</v>
      </c>
      <c r="BU56" s="55"/>
      <c r="BV56" s="56"/>
      <c r="BW56" s="37">
        <f t="shared" si="153"/>
        <v>0</v>
      </c>
      <c r="BX56" s="57"/>
      <c r="BY56" s="39">
        <f t="shared" si="154"/>
        <v>0</v>
      </c>
      <c r="BZ56" s="57"/>
      <c r="CA56" s="39">
        <f t="shared" si="155"/>
        <v>0</v>
      </c>
      <c r="CB56" s="57"/>
      <c r="CC56" s="39">
        <f t="shared" si="156"/>
        <v>0</v>
      </c>
      <c r="CD56" s="57"/>
      <c r="CE56" s="39">
        <f t="shared" si="157"/>
        <v>0</v>
      </c>
      <c r="CF56" s="55"/>
      <c r="CG56" s="56"/>
      <c r="CH56" s="37">
        <f t="shared" si="158"/>
        <v>0</v>
      </c>
      <c r="CI56" s="57"/>
      <c r="CJ56" s="39">
        <f t="shared" si="159"/>
        <v>0</v>
      </c>
      <c r="CK56" s="57"/>
      <c r="CL56" s="39">
        <f t="shared" si="160"/>
        <v>0</v>
      </c>
      <c r="CM56" s="57"/>
      <c r="CN56" s="39">
        <f t="shared" si="161"/>
        <v>0</v>
      </c>
      <c r="CO56" s="57"/>
      <c r="CP56" s="39">
        <f t="shared" si="162"/>
        <v>0</v>
      </c>
      <c r="CQ56" s="41">
        <f t="shared" si="163"/>
        <v>-69147.692307692312</v>
      </c>
      <c r="CR56" s="41">
        <f t="shared" si="164"/>
        <v>-69147.692307692312</v>
      </c>
      <c r="CS56" s="41">
        <f t="shared" si="42"/>
        <v>-69147.692307692312</v>
      </c>
      <c r="CT56" s="16">
        <f t="shared" si="165"/>
        <v>0</v>
      </c>
    </row>
    <row r="57" spans="1:98" x14ac:dyDescent="0.25">
      <c r="B57" s="46" t="s">
        <v>37</v>
      </c>
      <c r="C57" s="54" t="s">
        <v>36</v>
      </c>
      <c r="D57" s="118">
        <v>150300</v>
      </c>
      <c r="E57" s="47">
        <v>-0.37018461538461545</v>
      </c>
      <c r="F57" s="34">
        <v>-55638.747692307705</v>
      </c>
      <c r="G57" s="55"/>
      <c r="H57" s="36"/>
      <c r="I57" s="37">
        <f t="shared" si="123"/>
        <v>0</v>
      </c>
      <c r="J57" s="38"/>
      <c r="K57" s="39">
        <f t="shared" si="124"/>
        <v>0</v>
      </c>
      <c r="L57" s="38"/>
      <c r="M57" s="39">
        <f t="shared" si="125"/>
        <v>0</v>
      </c>
      <c r="N57" s="38"/>
      <c r="O57" s="39">
        <f t="shared" si="126"/>
        <v>0</v>
      </c>
      <c r="P57" s="38"/>
      <c r="Q57" s="39">
        <f t="shared" si="127"/>
        <v>0</v>
      </c>
      <c r="R57" s="55"/>
      <c r="S57" s="56"/>
      <c r="T57" s="37">
        <f t="shared" si="128"/>
        <v>0</v>
      </c>
      <c r="U57" s="57"/>
      <c r="V57" s="39">
        <f t="shared" si="129"/>
        <v>0</v>
      </c>
      <c r="W57" s="57"/>
      <c r="X57" s="39">
        <f t="shared" si="130"/>
        <v>0</v>
      </c>
      <c r="Y57" s="57"/>
      <c r="Z57" s="39">
        <f t="shared" si="131"/>
        <v>0</v>
      </c>
      <c r="AA57" s="57"/>
      <c r="AB57" s="39">
        <f t="shared" si="132"/>
        <v>0</v>
      </c>
      <c r="AC57" s="55"/>
      <c r="AD57" s="56"/>
      <c r="AE57" s="37">
        <f t="shared" si="133"/>
        <v>0</v>
      </c>
      <c r="AF57" s="57"/>
      <c r="AG57" s="39">
        <f t="shared" si="134"/>
        <v>0</v>
      </c>
      <c r="AH57" s="57"/>
      <c r="AI57" s="39">
        <f t="shared" si="135"/>
        <v>0</v>
      </c>
      <c r="AJ57" s="57"/>
      <c r="AK57" s="39">
        <f t="shared" si="136"/>
        <v>0</v>
      </c>
      <c r="AL57" s="57"/>
      <c r="AM57" s="39">
        <f t="shared" si="137"/>
        <v>0</v>
      </c>
      <c r="AN57" s="55"/>
      <c r="AO57" s="56">
        <v>0.2</v>
      </c>
      <c r="AP57" s="37">
        <f t="shared" si="138"/>
        <v>-11127.749538461541</v>
      </c>
      <c r="AQ57" s="57"/>
      <c r="AR57" s="39">
        <f t="shared" si="139"/>
        <v>0</v>
      </c>
      <c r="AS57" s="57"/>
      <c r="AT57" s="39">
        <f t="shared" si="140"/>
        <v>0</v>
      </c>
      <c r="AU57" s="38">
        <v>1</v>
      </c>
      <c r="AV57" s="39">
        <f t="shared" si="141"/>
        <v>-11127.749538461541</v>
      </c>
      <c r="AW57" s="57"/>
      <c r="AX57" s="39">
        <f t="shared" si="142"/>
        <v>0</v>
      </c>
      <c r="AY57" s="55"/>
      <c r="AZ57" s="56"/>
      <c r="BA57" s="37">
        <f t="shared" si="143"/>
        <v>0</v>
      </c>
      <c r="BB57" s="57"/>
      <c r="BC57" s="39">
        <f t="shared" si="144"/>
        <v>0</v>
      </c>
      <c r="BD57" s="57"/>
      <c r="BE57" s="39">
        <f t="shared" si="145"/>
        <v>0</v>
      </c>
      <c r="BF57" s="57"/>
      <c r="BG57" s="39">
        <f t="shared" si="146"/>
        <v>0</v>
      </c>
      <c r="BH57" s="57"/>
      <c r="BI57" s="39">
        <f t="shared" si="147"/>
        <v>0</v>
      </c>
      <c r="BJ57" s="55"/>
      <c r="BK57" s="56">
        <v>0.8</v>
      </c>
      <c r="BL57" s="37">
        <f t="shared" si="148"/>
        <v>-44510.998153846165</v>
      </c>
      <c r="BM57" s="57"/>
      <c r="BN57" s="39">
        <f t="shared" si="149"/>
        <v>0</v>
      </c>
      <c r="BO57" s="57"/>
      <c r="BP57" s="39">
        <f t="shared" si="150"/>
        <v>0</v>
      </c>
      <c r="BQ57" s="57">
        <v>1</v>
      </c>
      <c r="BR57" s="39">
        <f t="shared" si="151"/>
        <v>-44510.998153846165</v>
      </c>
      <c r="BS57" s="57"/>
      <c r="BT57" s="39">
        <f t="shared" si="152"/>
        <v>0</v>
      </c>
      <c r="BU57" s="55"/>
      <c r="BV57" s="56"/>
      <c r="BW57" s="37">
        <f t="shared" si="153"/>
        <v>0</v>
      </c>
      <c r="BX57" s="57"/>
      <c r="BY57" s="39">
        <f t="shared" si="154"/>
        <v>0</v>
      </c>
      <c r="BZ57" s="57"/>
      <c r="CA57" s="39">
        <f t="shared" si="155"/>
        <v>0</v>
      </c>
      <c r="CB57" s="57"/>
      <c r="CC57" s="39">
        <f t="shared" si="156"/>
        <v>0</v>
      </c>
      <c r="CD57" s="57"/>
      <c r="CE57" s="39">
        <f t="shared" si="157"/>
        <v>0</v>
      </c>
      <c r="CF57" s="55"/>
      <c r="CG57" s="56"/>
      <c r="CH57" s="37">
        <f t="shared" si="158"/>
        <v>0</v>
      </c>
      <c r="CI57" s="57"/>
      <c r="CJ57" s="39">
        <f t="shared" si="159"/>
        <v>0</v>
      </c>
      <c r="CK57" s="57"/>
      <c r="CL57" s="39">
        <f t="shared" si="160"/>
        <v>0</v>
      </c>
      <c r="CM57" s="57"/>
      <c r="CN57" s="39">
        <f t="shared" si="161"/>
        <v>0</v>
      </c>
      <c r="CO57" s="57"/>
      <c r="CP57" s="39">
        <f t="shared" si="162"/>
        <v>0</v>
      </c>
      <c r="CQ57" s="41">
        <f t="shared" si="163"/>
        <v>-55638.747692307705</v>
      </c>
      <c r="CR57" s="41">
        <f t="shared" si="164"/>
        <v>-55638.747692307705</v>
      </c>
      <c r="CS57" s="41">
        <f t="shared" si="42"/>
        <v>-55638.747692307705</v>
      </c>
      <c r="CT57" s="16">
        <f t="shared" si="165"/>
        <v>0</v>
      </c>
    </row>
    <row r="58" spans="1:98" x14ac:dyDescent="0.25">
      <c r="B58" s="44"/>
      <c r="C58" s="54"/>
      <c r="D58" s="53"/>
      <c r="E58" s="34"/>
      <c r="F58" s="34">
        <v>0</v>
      </c>
      <c r="G58" s="55"/>
      <c r="H58" s="36"/>
      <c r="I58" s="37">
        <f t="shared" si="123"/>
        <v>0</v>
      </c>
      <c r="J58" s="38"/>
      <c r="K58" s="39">
        <f t="shared" si="124"/>
        <v>0</v>
      </c>
      <c r="L58" s="38"/>
      <c r="M58" s="39">
        <f t="shared" si="125"/>
        <v>0</v>
      </c>
      <c r="N58" s="38"/>
      <c r="O58" s="39">
        <f t="shared" si="126"/>
        <v>0</v>
      </c>
      <c r="P58" s="38"/>
      <c r="Q58" s="39">
        <f t="shared" si="127"/>
        <v>0</v>
      </c>
      <c r="R58" s="55"/>
      <c r="S58" s="56"/>
      <c r="T58" s="37">
        <f t="shared" si="128"/>
        <v>0</v>
      </c>
      <c r="U58" s="57"/>
      <c r="V58" s="39">
        <f t="shared" si="129"/>
        <v>0</v>
      </c>
      <c r="W58" s="57"/>
      <c r="X58" s="39">
        <f t="shared" si="130"/>
        <v>0</v>
      </c>
      <c r="Y58" s="57"/>
      <c r="Z58" s="39">
        <f t="shared" si="131"/>
        <v>0</v>
      </c>
      <c r="AA58" s="57"/>
      <c r="AB58" s="39">
        <f t="shared" si="132"/>
        <v>0</v>
      </c>
      <c r="AC58" s="55"/>
      <c r="AD58" s="56"/>
      <c r="AE58" s="37">
        <f t="shared" si="133"/>
        <v>0</v>
      </c>
      <c r="AF58" s="57"/>
      <c r="AG58" s="39">
        <f t="shared" si="134"/>
        <v>0</v>
      </c>
      <c r="AH58" s="57"/>
      <c r="AI58" s="39">
        <f t="shared" si="135"/>
        <v>0</v>
      </c>
      <c r="AJ58" s="57"/>
      <c r="AK58" s="39">
        <f t="shared" si="136"/>
        <v>0</v>
      </c>
      <c r="AL58" s="57"/>
      <c r="AM58" s="39">
        <f t="shared" si="137"/>
        <v>0</v>
      </c>
      <c r="AN58" s="55"/>
      <c r="AO58" s="56"/>
      <c r="AP58" s="37">
        <f t="shared" si="138"/>
        <v>0</v>
      </c>
      <c r="AQ58" s="57"/>
      <c r="AR58" s="39">
        <f t="shared" si="139"/>
        <v>0</v>
      </c>
      <c r="AS58" s="57"/>
      <c r="AT58" s="39">
        <f t="shared" si="140"/>
        <v>0</v>
      </c>
      <c r="AU58" s="57"/>
      <c r="AV58" s="39">
        <f t="shared" si="141"/>
        <v>0</v>
      </c>
      <c r="AW58" s="57"/>
      <c r="AX58" s="39">
        <f t="shared" si="142"/>
        <v>0</v>
      </c>
      <c r="AY58" s="55"/>
      <c r="AZ58" s="56"/>
      <c r="BA58" s="37">
        <f t="shared" si="143"/>
        <v>0</v>
      </c>
      <c r="BB58" s="57"/>
      <c r="BC58" s="39">
        <f t="shared" si="144"/>
        <v>0</v>
      </c>
      <c r="BD58" s="57"/>
      <c r="BE58" s="39">
        <f t="shared" si="145"/>
        <v>0</v>
      </c>
      <c r="BF58" s="57"/>
      <c r="BG58" s="39">
        <f t="shared" si="146"/>
        <v>0</v>
      </c>
      <c r="BH58" s="57"/>
      <c r="BI58" s="39">
        <f t="shared" si="147"/>
        <v>0</v>
      </c>
      <c r="BJ58" s="55"/>
      <c r="BK58" s="56"/>
      <c r="BL58" s="37">
        <f t="shared" si="148"/>
        <v>0</v>
      </c>
      <c r="BM58" s="57"/>
      <c r="BN58" s="39">
        <f t="shared" si="149"/>
        <v>0</v>
      </c>
      <c r="BO58" s="57"/>
      <c r="BP58" s="39">
        <f t="shared" si="150"/>
        <v>0</v>
      </c>
      <c r="BQ58" s="57"/>
      <c r="BR58" s="39">
        <f t="shared" si="151"/>
        <v>0</v>
      </c>
      <c r="BS58" s="57"/>
      <c r="BT58" s="39">
        <f t="shared" si="152"/>
        <v>0</v>
      </c>
      <c r="BU58" s="55"/>
      <c r="BV58" s="56"/>
      <c r="BW58" s="37">
        <f t="shared" si="153"/>
        <v>0</v>
      </c>
      <c r="BX58" s="57"/>
      <c r="BY58" s="39">
        <f t="shared" si="154"/>
        <v>0</v>
      </c>
      <c r="BZ58" s="57"/>
      <c r="CA58" s="39">
        <f t="shared" si="155"/>
        <v>0</v>
      </c>
      <c r="CB58" s="57"/>
      <c r="CC58" s="39">
        <f t="shared" si="156"/>
        <v>0</v>
      </c>
      <c r="CD58" s="57"/>
      <c r="CE58" s="39">
        <f t="shared" si="157"/>
        <v>0</v>
      </c>
      <c r="CF58" s="55"/>
      <c r="CG58" s="56"/>
      <c r="CH58" s="37">
        <f t="shared" si="158"/>
        <v>0</v>
      </c>
      <c r="CI58" s="57"/>
      <c r="CJ58" s="39">
        <f t="shared" si="159"/>
        <v>0</v>
      </c>
      <c r="CK58" s="57"/>
      <c r="CL58" s="39">
        <f t="shared" si="160"/>
        <v>0</v>
      </c>
      <c r="CM58" s="57"/>
      <c r="CN58" s="39">
        <f t="shared" si="161"/>
        <v>0</v>
      </c>
      <c r="CO58" s="57"/>
      <c r="CP58" s="39">
        <f t="shared" si="162"/>
        <v>0</v>
      </c>
      <c r="CQ58" s="41">
        <f t="shared" si="163"/>
        <v>0</v>
      </c>
      <c r="CR58" s="41">
        <f t="shared" si="164"/>
        <v>0</v>
      </c>
      <c r="CS58" s="41">
        <f t="shared" si="42"/>
        <v>0</v>
      </c>
      <c r="CT58" s="16">
        <f t="shared" si="165"/>
        <v>0</v>
      </c>
    </row>
    <row r="59" spans="1:98" x14ac:dyDescent="0.25">
      <c r="A59" s="1" t="s">
        <v>198</v>
      </c>
      <c r="C59" s="45"/>
      <c r="D59" s="53"/>
      <c r="E59" s="50"/>
      <c r="F59" s="34">
        <v>0</v>
      </c>
      <c r="G59" s="40"/>
      <c r="H59" s="36"/>
      <c r="I59" s="37">
        <f t="shared" si="123"/>
        <v>0</v>
      </c>
      <c r="J59" s="38"/>
      <c r="K59" s="39">
        <f t="shared" si="124"/>
        <v>0</v>
      </c>
      <c r="L59" s="38"/>
      <c r="M59" s="39">
        <f t="shared" si="125"/>
        <v>0</v>
      </c>
      <c r="N59" s="38"/>
      <c r="O59" s="39">
        <f t="shared" si="126"/>
        <v>0</v>
      </c>
      <c r="P59" s="38"/>
      <c r="Q59" s="39">
        <f t="shared" si="127"/>
        <v>0</v>
      </c>
      <c r="R59" s="40"/>
      <c r="S59" s="36"/>
      <c r="T59" s="37">
        <f t="shared" si="128"/>
        <v>0</v>
      </c>
      <c r="U59" s="38"/>
      <c r="V59" s="39">
        <f t="shared" si="129"/>
        <v>0</v>
      </c>
      <c r="W59" s="38"/>
      <c r="X59" s="39">
        <f t="shared" si="130"/>
        <v>0</v>
      </c>
      <c r="Y59" s="38"/>
      <c r="Z59" s="39">
        <f t="shared" si="131"/>
        <v>0</v>
      </c>
      <c r="AA59" s="38"/>
      <c r="AB59" s="39">
        <f t="shared" si="132"/>
        <v>0</v>
      </c>
      <c r="AC59" s="40"/>
      <c r="AD59" s="36"/>
      <c r="AE59" s="37">
        <f t="shared" si="133"/>
        <v>0</v>
      </c>
      <c r="AF59" s="38"/>
      <c r="AG59" s="39">
        <f t="shared" si="134"/>
        <v>0</v>
      </c>
      <c r="AH59" s="38"/>
      <c r="AI59" s="39">
        <f t="shared" si="135"/>
        <v>0</v>
      </c>
      <c r="AJ59" s="38"/>
      <c r="AK59" s="39">
        <f t="shared" si="136"/>
        <v>0</v>
      </c>
      <c r="AL59" s="38"/>
      <c r="AM59" s="39">
        <f t="shared" si="137"/>
        <v>0</v>
      </c>
      <c r="AN59" s="40"/>
      <c r="AO59" s="36"/>
      <c r="AP59" s="37">
        <f t="shared" si="138"/>
        <v>0</v>
      </c>
      <c r="AQ59" s="38"/>
      <c r="AR59" s="39">
        <f t="shared" si="139"/>
        <v>0</v>
      </c>
      <c r="AS59" s="38"/>
      <c r="AT59" s="39">
        <f t="shared" si="140"/>
        <v>0</v>
      </c>
      <c r="AU59" s="38"/>
      <c r="AV59" s="39">
        <f t="shared" si="141"/>
        <v>0</v>
      </c>
      <c r="AW59" s="38"/>
      <c r="AX59" s="39">
        <f t="shared" si="142"/>
        <v>0</v>
      </c>
      <c r="AY59" s="40"/>
      <c r="AZ59" s="36"/>
      <c r="BA59" s="37">
        <f t="shared" si="143"/>
        <v>0</v>
      </c>
      <c r="BB59" s="38"/>
      <c r="BC59" s="39">
        <f t="shared" si="144"/>
        <v>0</v>
      </c>
      <c r="BD59" s="38"/>
      <c r="BE59" s="39">
        <f t="shared" si="145"/>
        <v>0</v>
      </c>
      <c r="BF59" s="38"/>
      <c r="BG59" s="39">
        <f t="shared" si="146"/>
        <v>0</v>
      </c>
      <c r="BH59" s="38"/>
      <c r="BI59" s="39">
        <f t="shared" si="147"/>
        <v>0</v>
      </c>
      <c r="BJ59" s="40"/>
      <c r="BK59" s="36"/>
      <c r="BL59" s="37">
        <f t="shared" si="148"/>
        <v>0</v>
      </c>
      <c r="BM59" s="38"/>
      <c r="BN59" s="39">
        <f t="shared" si="149"/>
        <v>0</v>
      </c>
      <c r="BO59" s="38"/>
      <c r="BP59" s="39">
        <f t="shared" si="150"/>
        <v>0</v>
      </c>
      <c r="BQ59" s="38"/>
      <c r="BR59" s="39">
        <f t="shared" si="151"/>
        <v>0</v>
      </c>
      <c r="BS59" s="38"/>
      <c r="BT59" s="39">
        <f t="shared" si="152"/>
        <v>0</v>
      </c>
      <c r="BU59" s="40"/>
      <c r="BV59" s="36"/>
      <c r="BW59" s="37">
        <f t="shared" si="153"/>
        <v>0</v>
      </c>
      <c r="BX59" s="38"/>
      <c r="BY59" s="39">
        <f t="shared" si="154"/>
        <v>0</v>
      </c>
      <c r="BZ59" s="38"/>
      <c r="CA59" s="39">
        <f t="shared" si="155"/>
        <v>0</v>
      </c>
      <c r="CB59" s="38"/>
      <c r="CC59" s="39">
        <f t="shared" si="156"/>
        <v>0</v>
      </c>
      <c r="CD59" s="38"/>
      <c r="CE59" s="39">
        <f t="shared" si="157"/>
        <v>0</v>
      </c>
      <c r="CF59" s="40"/>
      <c r="CG59" s="36"/>
      <c r="CH59" s="37">
        <f t="shared" si="158"/>
        <v>0</v>
      </c>
      <c r="CI59" s="38"/>
      <c r="CJ59" s="39">
        <f t="shared" si="159"/>
        <v>0</v>
      </c>
      <c r="CK59" s="38"/>
      <c r="CL59" s="39">
        <f t="shared" si="160"/>
        <v>0</v>
      </c>
      <c r="CM59" s="38"/>
      <c r="CN59" s="39">
        <f t="shared" si="161"/>
        <v>0</v>
      </c>
      <c r="CO59" s="38"/>
      <c r="CP59" s="39">
        <f t="shared" si="162"/>
        <v>0</v>
      </c>
      <c r="CQ59" s="41">
        <f t="shared" si="163"/>
        <v>0</v>
      </c>
      <c r="CR59" s="41">
        <f t="shared" si="164"/>
        <v>0</v>
      </c>
      <c r="CS59" s="41">
        <f t="shared" si="42"/>
        <v>0</v>
      </c>
      <c r="CT59" s="16">
        <f t="shared" si="165"/>
        <v>0</v>
      </c>
    </row>
    <row r="60" spans="1:98" x14ac:dyDescent="0.25">
      <c r="B60" s="44" t="s">
        <v>45</v>
      </c>
      <c r="C60" s="42" t="s">
        <v>33</v>
      </c>
      <c r="D60" s="53">
        <v>327</v>
      </c>
      <c r="E60" s="50">
        <v>240</v>
      </c>
      <c r="F60" s="34">
        <v>78480</v>
      </c>
      <c r="G60" s="40"/>
      <c r="H60" s="36"/>
      <c r="I60" s="37">
        <f t="shared" si="123"/>
        <v>0</v>
      </c>
      <c r="J60" s="38"/>
      <c r="K60" s="39">
        <f t="shared" si="124"/>
        <v>0</v>
      </c>
      <c r="L60" s="38"/>
      <c r="M60" s="39">
        <f t="shared" si="125"/>
        <v>0</v>
      </c>
      <c r="N60" s="38"/>
      <c r="O60" s="39">
        <f t="shared" si="126"/>
        <v>0</v>
      </c>
      <c r="P60" s="38"/>
      <c r="Q60" s="39">
        <f t="shared" si="127"/>
        <v>0</v>
      </c>
      <c r="R60" s="40"/>
      <c r="S60" s="36"/>
      <c r="T60" s="37">
        <f t="shared" si="128"/>
        <v>0</v>
      </c>
      <c r="U60" s="38"/>
      <c r="V60" s="39">
        <f t="shared" si="129"/>
        <v>0</v>
      </c>
      <c r="W60" s="38"/>
      <c r="X60" s="39">
        <f t="shared" si="130"/>
        <v>0</v>
      </c>
      <c r="Y60" s="38"/>
      <c r="Z60" s="39">
        <f t="shared" si="131"/>
        <v>0</v>
      </c>
      <c r="AA60" s="38"/>
      <c r="AB60" s="39">
        <f t="shared" si="132"/>
        <v>0</v>
      </c>
      <c r="AC60" s="40"/>
      <c r="AD60" s="36"/>
      <c r="AE60" s="37">
        <f t="shared" si="133"/>
        <v>0</v>
      </c>
      <c r="AF60" s="38"/>
      <c r="AG60" s="39">
        <f t="shared" si="134"/>
        <v>0</v>
      </c>
      <c r="AH60" s="38"/>
      <c r="AI60" s="39">
        <f t="shared" si="135"/>
        <v>0</v>
      </c>
      <c r="AJ60" s="38"/>
      <c r="AK60" s="39">
        <f t="shared" si="136"/>
        <v>0</v>
      </c>
      <c r="AL60" s="38"/>
      <c r="AM60" s="39">
        <f t="shared" si="137"/>
        <v>0</v>
      </c>
      <c r="AN60" s="40"/>
      <c r="AO60" s="36">
        <v>0.95</v>
      </c>
      <c r="AP60" s="37">
        <f t="shared" si="138"/>
        <v>74556</v>
      </c>
      <c r="AQ60" s="38"/>
      <c r="AR60" s="39">
        <f t="shared" si="139"/>
        <v>0</v>
      </c>
      <c r="AS60" s="38"/>
      <c r="AT60" s="39">
        <f t="shared" si="140"/>
        <v>0</v>
      </c>
      <c r="AU60" s="38"/>
      <c r="AV60" s="39">
        <f t="shared" si="141"/>
        <v>0</v>
      </c>
      <c r="AW60" s="38">
        <v>1</v>
      </c>
      <c r="AX60" s="39">
        <f t="shared" si="142"/>
        <v>74556</v>
      </c>
      <c r="AY60" s="40"/>
      <c r="AZ60" s="36"/>
      <c r="BA60" s="37">
        <f t="shared" si="143"/>
        <v>0</v>
      </c>
      <c r="BB60" s="38"/>
      <c r="BC60" s="39">
        <f t="shared" si="144"/>
        <v>0</v>
      </c>
      <c r="BD60" s="38"/>
      <c r="BE60" s="39">
        <f t="shared" si="145"/>
        <v>0</v>
      </c>
      <c r="BF60" s="38"/>
      <c r="BG60" s="39">
        <f t="shared" si="146"/>
        <v>0</v>
      </c>
      <c r="BH60" s="38"/>
      <c r="BI60" s="39">
        <f t="shared" si="147"/>
        <v>0</v>
      </c>
      <c r="BJ60" s="40"/>
      <c r="BK60" s="36">
        <v>0.05</v>
      </c>
      <c r="BL60" s="37">
        <f t="shared" si="148"/>
        <v>3924</v>
      </c>
      <c r="BM60" s="38"/>
      <c r="BN60" s="39">
        <f t="shared" si="149"/>
        <v>0</v>
      </c>
      <c r="BO60" s="38"/>
      <c r="BP60" s="39">
        <f t="shared" si="150"/>
        <v>0</v>
      </c>
      <c r="BQ60" s="38"/>
      <c r="BR60" s="39">
        <f t="shared" si="151"/>
        <v>0</v>
      </c>
      <c r="BS60" s="57">
        <v>1</v>
      </c>
      <c r="BT60" s="39">
        <f t="shared" si="152"/>
        <v>3924</v>
      </c>
      <c r="BU60" s="40"/>
      <c r="BV60" s="36"/>
      <c r="BW60" s="37">
        <f t="shared" si="153"/>
        <v>0</v>
      </c>
      <c r="BX60" s="38"/>
      <c r="BY60" s="39">
        <f t="shared" si="154"/>
        <v>0</v>
      </c>
      <c r="BZ60" s="38"/>
      <c r="CA60" s="39">
        <f t="shared" si="155"/>
        <v>0</v>
      </c>
      <c r="CB60" s="38"/>
      <c r="CC60" s="39">
        <f t="shared" si="156"/>
        <v>0</v>
      </c>
      <c r="CD60" s="38"/>
      <c r="CE60" s="39">
        <f t="shared" si="157"/>
        <v>0</v>
      </c>
      <c r="CF60" s="40"/>
      <c r="CG60" s="36"/>
      <c r="CH60" s="37">
        <f t="shared" si="158"/>
        <v>0</v>
      </c>
      <c r="CI60" s="38"/>
      <c r="CJ60" s="39">
        <f t="shared" si="159"/>
        <v>0</v>
      </c>
      <c r="CK60" s="38"/>
      <c r="CL60" s="39">
        <f t="shared" si="160"/>
        <v>0</v>
      </c>
      <c r="CM60" s="38"/>
      <c r="CN60" s="39">
        <f t="shared" si="161"/>
        <v>0</v>
      </c>
      <c r="CO60" s="38"/>
      <c r="CP60" s="39">
        <f t="shared" si="162"/>
        <v>0</v>
      </c>
      <c r="CQ60" s="41">
        <f t="shared" si="163"/>
        <v>78480</v>
      </c>
      <c r="CR60" s="41">
        <f t="shared" si="164"/>
        <v>78480</v>
      </c>
      <c r="CS60" s="41">
        <f t="shared" si="42"/>
        <v>78480</v>
      </c>
      <c r="CT60" s="16">
        <f t="shared" si="165"/>
        <v>0</v>
      </c>
    </row>
    <row r="61" spans="1:98" x14ac:dyDescent="0.25">
      <c r="B61" s="44" t="s">
        <v>46</v>
      </c>
      <c r="C61" s="42" t="s">
        <v>33</v>
      </c>
      <c r="D61" s="53">
        <v>327</v>
      </c>
      <c r="E61" s="34">
        <v>-180.52631578947367</v>
      </c>
      <c r="F61" s="34">
        <v>-59032.105263157893</v>
      </c>
      <c r="G61" s="40"/>
      <c r="H61" s="36"/>
      <c r="I61" s="37">
        <f t="shared" si="123"/>
        <v>0</v>
      </c>
      <c r="J61" s="38"/>
      <c r="K61" s="39">
        <f t="shared" si="124"/>
        <v>0</v>
      </c>
      <c r="L61" s="38"/>
      <c r="M61" s="39">
        <f t="shared" si="125"/>
        <v>0</v>
      </c>
      <c r="N61" s="38"/>
      <c r="O61" s="39">
        <f t="shared" si="126"/>
        <v>0</v>
      </c>
      <c r="P61" s="38"/>
      <c r="Q61" s="39">
        <f t="shared" si="127"/>
        <v>0</v>
      </c>
      <c r="R61" s="40"/>
      <c r="S61" s="36"/>
      <c r="T61" s="37">
        <f t="shared" si="128"/>
        <v>0</v>
      </c>
      <c r="U61" s="38"/>
      <c r="V61" s="39">
        <f t="shared" si="129"/>
        <v>0</v>
      </c>
      <c r="W61" s="38"/>
      <c r="X61" s="39">
        <f t="shared" si="130"/>
        <v>0</v>
      </c>
      <c r="Y61" s="38"/>
      <c r="Z61" s="39">
        <f t="shared" si="131"/>
        <v>0</v>
      </c>
      <c r="AA61" s="38"/>
      <c r="AB61" s="39">
        <f t="shared" si="132"/>
        <v>0</v>
      </c>
      <c r="AC61" s="40"/>
      <c r="AD61" s="36"/>
      <c r="AE61" s="37">
        <f t="shared" si="133"/>
        <v>0</v>
      </c>
      <c r="AF61" s="38"/>
      <c r="AG61" s="39">
        <f t="shared" si="134"/>
        <v>0</v>
      </c>
      <c r="AH61" s="38"/>
      <c r="AI61" s="39">
        <f t="shared" si="135"/>
        <v>0</v>
      </c>
      <c r="AJ61" s="38"/>
      <c r="AK61" s="39">
        <f t="shared" si="136"/>
        <v>0</v>
      </c>
      <c r="AL61" s="38"/>
      <c r="AM61" s="39">
        <f t="shared" si="137"/>
        <v>0</v>
      </c>
      <c r="AN61" s="40"/>
      <c r="AO61" s="36">
        <v>0.95</v>
      </c>
      <c r="AP61" s="37">
        <f t="shared" si="138"/>
        <v>-56080.499999999993</v>
      </c>
      <c r="AQ61" s="38"/>
      <c r="AR61" s="39">
        <f t="shared" si="139"/>
        <v>0</v>
      </c>
      <c r="AS61" s="38"/>
      <c r="AT61" s="39">
        <f t="shared" si="140"/>
        <v>0</v>
      </c>
      <c r="AU61" s="38"/>
      <c r="AV61" s="39">
        <f t="shared" si="141"/>
        <v>0</v>
      </c>
      <c r="AW61" s="38">
        <v>1</v>
      </c>
      <c r="AX61" s="39">
        <f t="shared" si="142"/>
        <v>-56080.499999999993</v>
      </c>
      <c r="AY61" s="40"/>
      <c r="AZ61" s="36"/>
      <c r="BA61" s="37">
        <f t="shared" si="143"/>
        <v>0</v>
      </c>
      <c r="BB61" s="38"/>
      <c r="BC61" s="39">
        <f t="shared" si="144"/>
        <v>0</v>
      </c>
      <c r="BD61" s="38"/>
      <c r="BE61" s="39">
        <f t="shared" si="145"/>
        <v>0</v>
      </c>
      <c r="BF61" s="38"/>
      <c r="BG61" s="39">
        <f t="shared" si="146"/>
        <v>0</v>
      </c>
      <c r="BH61" s="38"/>
      <c r="BI61" s="39">
        <f t="shared" si="147"/>
        <v>0</v>
      </c>
      <c r="BJ61" s="40"/>
      <c r="BK61" s="36">
        <v>0.05</v>
      </c>
      <c r="BL61" s="37">
        <f t="shared" si="148"/>
        <v>-2951.605263157895</v>
      </c>
      <c r="BM61" s="38"/>
      <c r="BN61" s="39">
        <f t="shared" si="149"/>
        <v>0</v>
      </c>
      <c r="BO61" s="38"/>
      <c r="BP61" s="39">
        <f t="shared" si="150"/>
        <v>0</v>
      </c>
      <c r="BQ61" s="38"/>
      <c r="BR61" s="39">
        <f t="shared" si="151"/>
        <v>0</v>
      </c>
      <c r="BS61" s="57">
        <v>1</v>
      </c>
      <c r="BT61" s="39">
        <f t="shared" si="152"/>
        <v>-2951.605263157895</v>
      </c>
      <c r="BU61" s="40"/>
      <c r="BV61" s="36"/>
      <c r="BW61" s="37">
        <f t="shared" si="153"/>
        <v>0</v>
      </c>
      <c r="BX61" s="38"/>
      <c r="BY61" s="39">
        <f t="shared" si="154"/>
        <v>0</v>
      </c>
      <c r="BZ61" s="38"/>
      <c r="CA61" s="39">
        <f t="shared" si="155"/>
        <v>0</v>
      </c>
      <c r="CB61" s="38"/>
      <c r="CC61" s="39">
        <f t="shared" si="156"/>
        <v>0</v>
      </c>
      <c r="CD61" s="38"/>
      <c r="CE61" s="39">
        <f t="shared" si="157"/>
        <v>0</v>
      </c>
      <c r="CF61" s="40"/>
      <c r="CG61" s="36"/>
      <c r="CH61" s="37">
        <f t="shared" si="158"/>
        <v>0</v>
      </c>
      <c r="CI61" s="38"/>
      <c r="CJ61" s="39">
        <f t="shared" si="159"/>
        <v>0</v>
      </c>
      <c r="CK61" s="38"/>
      <c r="CL61" s="39">
        <f t="shared" si="160"/>
        <v>0</v>
      </c>
      <c r="CM61" s="38"/>
      <c r="CN61" s="39">
        <f t="shared" si="161"/>
        <v>0</v>
      </c>
      <c r="CO61" s="38"/>
      <c r="CP61" s="39">
        <f t="shared" si="162"/>
        <v>0</v>
      </c>
      <c r="CQ61" s="41">
        <f t="shared" si="163"/>
        <v>-59032.105263157893</v>
      </c>
      <c r="CR61" s="41">
        <f t="shared" si="164"/>
        <v>-59032.105263157886</v>
      </c>
      <c r="CS61" s="41">
        <f t="shared" si="42"/>
        <v>-59032.105263157886</v>
      </c>
      <c r="CT61" s="16">
        <f t="shared" si="165"/>
        <v>0</v>
      </c>
    </row>
    <row r="62" spans="1:98" x14ac:dyDescent="0.25">
      <c r="B62" s="51" t="s">
        <v>41</v>
      </c>
      <c r="C62" s="54" t="s">
        <v>33</v>
      </c>
      <c r="D62" s="53">
        <v>12</v>
      </c>
      <c r="E62" s="34">
        <v>65</v>
      </c>
      <c r="F62" s="34">
        <v>780</v>
      </c>
      <c r="G62" s="55"/>
      <c r="H62" s="36"/>
      <c r="I62" s="37">
        <f t="shared" si="123"/>
        <v>0</v>
      </c>
      <c r="J62" s="38"/>
      <c r="K62" s="39">
        <f t="shared" si="124"/>
        <v>0</v>
      </c>
      <c r="L62" s="38"/>
      <c r="M62" s="39">
        <f t="shared" si="125"/>
        <v>0</v>
      </c>
      <c r="N62" s="38"/>
      <c r="O62" s="39">
        <f t="shared" si="126"/>
        <v>0</v>
      </c>
      <c r="P62" s="38"/>
      <c r="Q62" s="39">
        <f t="shared" si="127"/>
        <v>0</v>
      </c>
      <c r="R62" s="55"/>
      <c r="S62" s="56">
        <v>0.14285714285714288</v>
      </c>
      <c r="T62" s="37">
        <f t="shared" si="128"/>
        <v>111.42857142857144</v>
      </c>
      <c r="U62" s="57"/>
      <c r="V62" s="39">
        <f t="shared" si="129"/>
        <v>0</v>
      </c>
      <c r="W62" s="57"/>
      <c r="X62" s="39">
        <f t="shared" si="130"/>
        <v>0</v>
      </c>
      <c r="Y62" s="57"/>
      <c r="Z62" s="39">
        <f t="shared" si="131"/>
        <v>0</v>
      </c>
      <c r="AA62" s="57">
        <v>1</v>
      </c>
      <c r="AB62" s="39">
        <f t="shared" si="132"/>
        <v>111.42857142857144</v>
      </c>
      <c r="AC62" s="55"/>
      <c r="AD62" s="56">
        <v>0.14285714285714288</v>
      </c>
      <c r="AE62" s="37">
        <f t="shared" si="133"/>
        <v>111.42857142857144</v>
      </c>
      <c r="AF62" s="57"/>
      <c r="AG62" s="39">
        <f t="shared" si="134"/>
        <v>0</v>
      </c>
      <c r="AH62" s="57"/>
      <c r="AI62" s="39">
        <f t="shared" si="135"/>
        <v>0</v>
      </c>
      <c r="AJ62" s="57"/>
      <c r="AK62" s="39">
        <f t="shared" si="136"/>
        <v>0</v>
      </c>
      <c r="AL62" s="57">
        <v>1</v>
      </c>
      <c r="AM62" s="39">
        <f t="shared" si="137"/>
        <v>111.42857142857144</v>
      </c>
      <c r="AN62" s="55"/>
      <c r="AO62" s="56">
        <v>0.14285714285714288</v>
      </c>
      <c r="AP62" s="37">
        <f t="shared" si="138"/>
        <v>111.42857142857144</v>
      </c>
      <c r="AQ62" s="57"/>
      <c r="AR62" s="39">
        <f t="shared" si="139"/>
        <v>0</v>
      </c>
      <c r="AS62" s="57"/>
      <c r="AT62" s="39">
        <f t="shared" si="140"/>
        <v>0</v>
      </c>
      <c r="AU62" s="57"/>
      <c r="AV62" s="39">
        <f t="shared" si="141"/>
        <v>0</v>
      </c>
      <c r="AW62" s="57">
        <v>1</v>
      </c>
      <c r="AX62" s="39">
        <f t="shared" si="142"/>
        <v>111.42857142857144</v>
      </c>
      <c r="AY62" s="55"/>
      <c r="AZ62" s="56">
        <v>0.14285714285714288</v>
      </c>
      <c r="BA62" s="37">
        <f t="shared" si="143"/>
        <v>111.42857142857144</v>
      </c>
      <c r="BB62" s="57"/>
      <c r="BC62" s="39">
        <f t="shared" si="144"/>
        <v>0</v>
      </c>
      <c r="BD62" s="57"/>
      <c r="BE62" s="39">
        <f t="shared" si="145"/>
        <v>0</v>
      </c>
      <c r="BF62" s="57"/>
      <c r="BG62" s="39">
        <f t="shared" si="146"/>
        <v>0</v>
      </c>
      <c r="BH62" s="57">
        <v>1</v>
      </c>
      <c r="BI62" s="39">
        <f t="shared" si="147"/>
        <v>111.42857142857144</v>
      </c>
      <c r="BJ62" s="55"/>
      <c r="BK62" s="56">
        <v>0.14285714285714288</v>
      </c>
      <c r="BL62" s="37">
        <f t="shared" si="148"/>
        <v>111.42857142857144</v>
      </c>
      <c r="BM62" s="57"/>
      <c r="BN62" s="39">
        <f t="shared" si="149"/>
        <v>0</v>
      </c>
      <c r="BO62" s="57"/>
      <c r="BP62" s="39">
        <f t="shared" si="150"/>
        <v>0</v>
      </c>
      <c r="BQ62" s="57"/>
      <c r="BR62" s="39">
        <f t="shared" si="151"/>
        <v>0</v>
      </c>
      <c r="BS62" s="57">
        <v>1</v>
      </c>
      <c r="BT62" s="39">
        <f t="shared" si="152"/>
        <v>111.42857142857144</v>
      </c>
      <c r="BU62" s="55"/>
      <c r="BV62" s="56">
        <v>0.14285714285714288</v>
      </c>
      <c r="BW62" s="37">
        <f t="shared" si="153"/>
        <v>111.42857142857144</v>
      </c>
      <c r="BX62" s="57"/>
      <c r="BY62" s="39">
        <f t="shared" si="154"/>
        <v>0</v>
      </c>
      <c r="BZ62" s="57"/>
      <c r="CA62" s="39">
        <f t="shared" si="155"/>
        <v>0</v>
      </c>
      <c r="CB62" s="57"/>
      <c r="CC62" s="39">
        <f t="shared" si="156"/>
        <v>0</v>
      </c>
      <c r="CD62" s="57">
        <v>1</v>
      </c>
      <c r="CE62" s="39">
        <f t="shared" si="157"/>
        <v>111.42857142857144</v>
      </c>
      <c r="CF62" s="55"/>
      <c r="CG62" s="56">
        <v>0.14285714285714288</v>
      </c>
      <c r="CH62" s="37">
        <f t="shared" si="158"/>
        <v>111.42857142857144</v>
      </c>
      <c r="CI62" s="57"/>
      <c r="CJ62" s="39">
        <f t="shared" si="159"/>
        <v>0</v>
      </c>
      <c r="CK62" s="57"/>
      <c r="CL62" s="39">
        <f t="shared" si="160"/>
        <v>0</v>
      </c>
      <c r="CM62" s="57"/>
      <c r="CN62" s="39">
        <f t="shared" si="161"/>
        <v>0</v>
      </c>
      <c r="CO62" s="57">
        <v>1</v>
      </c>
      <c r="CP62" s="39">
        <f t="shared" si="162"/>
        <v>111.42857142857144</v>
      </c>
      <c r="CQ62" s="41">
        <f t="shared" si="163"/>
        <v>780</v>
      </c>
      <c r="CR62" s="41">
        <f t="shared" si="164"/>
        <v>780.00000000000011</v>
      </c>
      <c r="CS62" s="41">
        <f t="shared" si="42"/>
        <v>780.00000000000011</v>
      </c>
      <c r="CT62" s="16">
        <f t="shared" si="165"/>
        <v>0</v>
      </c>
    </row>
    <row r="63" spans="1:98" x14ac:dyDescent="0.25">
      <c r="B63" s="46" t="s">
        <v>194</v>
      </c>
      <c r="C63" s="54" t="s">
        <v>33</v>
      </c>
      <c r="D63" s="53">
        <v>35</v>
      </c>
      <c r="E63" s="34">
        <v>-460.98461538461538</v>
      </c>
      <c r="F63" s="34">
        <v>-16134.461538461539</v>
      </c>
      <c r="G63" s="55"/>
      <c r="H63" s="36"/>
      <c r="I63" s="37">
        <f t="shared" si="123"/>
        <v>0</v>
      </c>
      <c r="J63" s="38"/>
      <c r="K63" s="39">
        <f t="shared" si="124"/>
        <v>0</v>
      </c>
      <c r="L63" s="38"/>
      <c r="M63" s="39">
        <f t="shared" si="125"/>
        <v>0</v>
      </c>
      <c r="N63" s="38"/>
      <c r="O63" s="39">
        <f t="shared" si="126"/>
        <v>0</v>
      </c>
      <c r="P63" s="38"/>
      <c r="Q63" s="39">
        <f t="shared" si="127"/>
        <v>0</v>
      </c>
      <c r="R63" s="55"/>
      <c r="S63" s="56"/>
      <c r="T63" s="37">
        <f t="shared" si="128"/>
        <v>0</v>
      </c>
      <c r="U63" s="57"/>
      <c r="V63" s="39">
        <f t="shared" si="129"/>
        <v>0</v>
      </c>
      <c r="W63" s="57"/>
      <c r="X63" s="39">
        <f t="shared" si="130"/>
        <v>0</v>
      </c>
      <c r="Y63" s="57"/>
      <c r="Z63" s="39">
        <f t="shared" si="131"/>
        <v>0</v>
      </c>
      <c r="AA63" s="57"/>
      <c r="AB63" s="39">
        <f t="shared" si="132"/>
        <v>0</v>
      </c>
      <c r="AC63" s="55"/>
      <c r="AD63" s="56"/>
      <c r="AE63" s="37">
        <f t="shared" si="133"/>
        <v>0</v>
      </c>
      <c r="AF63" s="57"/>
      <c r="AG63" s="39">
        <f t="shared" si="134"/>
        <v>0</v>
      </c>
      <c r="AH63" s="57"/>
      <c r="AI63" s="39">
        <f t="shared" si="135"/>
        <v>0</v>
      </c>
      <c r="AJ63" s="57"/>
      <c r="AK63" s="39">
        <f t="shared" si="136"/>
        <v>0</v>
      </c>
      <c r="AL63" s="57"/>
      <c r="AM63" s="39">
        <f t="shared" si="137"/>
        <v>0</v>
      </c>
      <c r="AN63" s="55"/>
      <c r="AO63" s="56"/>
      <c r="AP63" s="37">
        <f t="shared" si="138"/>
        <v>0</v>
      </c>
      <c r="AQ63" s="57"/>
      <c r="AR63" s="39">
        <f t="shared" si="139"/>
        <v>0</v>
      </c>
      <c r="AS63" s="57"/>
      <c r="AT63" s="39">
        <f t="shared" si="140"/>
        <v>0</v>
      </c>
      <c r="AU63" s="57"/>
      <c r="AV63" s="39">
        <f t="shared" si="141"/>
        <v>0</v>
      </c>
      <c r="AW63" s="57"/>
      <c r="AX63" s="39">
        <f t="shared" si="142"/>
        <v>0</v>
      </c>
      <c r="AY63" s="55"/>
      <c r="AZ63" s="56"/>
      <c r="BA63" s="37">
        <f t="shared" si="143"/>
        <v>0</v>
      </c>
      <c r="BB63" s="57"/>
      <c r="BC63" s="39">
        <f t="shared" si="144"/>
        <v>0</v>
      </c>
      <c r="BD63" s="57"/>
      <c r="BE63" s="39">
        <f t="shared" si="145"/>
        <v>0</v>
      </c>
      <c r="BF63" s="57"/>
      <c r="BG63" s="39">
        <f t="shared" si="146"/>
        <v>0</v>
      </c>
      <c r="BH63" s="57"/>
      <c r="BI63" s="39">
        <f t="shared" si="147"/>
        <v>0</v>
      </c>
      <c r="BJ63" s="55"/>
      <c r="BK63" s="56">
        <v>1</v>
      </c>
      <c r="BL63" s="37">
        <f t="shared" si="148"/>
        <v>-16134.461538461539</v>
      </c>
      <c r="BM63" s="57"/>
      <c r="BN63" s="39">
        <f t="shared" si="149"/>
        <v>0</v>
      </c>
      <c r="BO63" s="57"/>
      <c r="BP63" s="39">
        <f t="shared" si="150"/>
        <v>0</v>
      </c>
      <c r="BQ63" s="57"/>
      <c r="BR63" s="39">
        <f t="shared" si="151"/>
        <v>0</v>
      </c>
      <c r="BS63" s="57">
        <v>1</v>
      </c>
      <c r="BT63" s="39">
        <f t="shared" si="152"/>
        <v>-16134.461538461539</v>
      </c>
      <c r="BU63" s="55"/>
      <c r="BV63" s="56"/>
      <c r="BW63" s="37">
        <f t="shared" si="153"/>
        <v>0</v>
      </c>
      <c r="BX63" s="57"/>
      <c r="BY63" s="39">
        <f t="shared" si="154"/>
        <v>0</v>
      </c>
      <c r="BZ63" s="57"/>
      <c r="CA63" s="39">
        <f t="shared" si="155"/>
        <v>0</v>
      </c>
      <c r="CB63" s="57"/>
      <c r="CC63" s="39">
        <f t="shared" si="156"/>
        <v>0</v>
      </c>
      <c r="CD63" s="57"/>
      <c r="CE63" s="39">
        <f t="shared" si="157"/>
        <v>0</v>
      </c>
      <c r="CF63" s="55"/>
      <c r="CG63" s="56"/>
      <c r="CH63" s="37">
        <f t="shared" si="158"/>
        <v>0</v>
      </c>
      <c r="CI63" s="57"/>
      <c r="CJ63" s="39">
        <f t="shared" si="159"/>
        <v>0</v>
      </c>
      <c r="CK63" s="57"/>
      <c r="CL63" s="39">
        <f t="shared" si="160"/>
        <v>0</v>
      </c>
      <c r="CM63" s="57"/>
      <c r="CN63" s="39">
        <f t="shared" si="161"/>
        <v>0</v>
      </c>
      <c r="CO63" s="57"/>
      <c r="CP63" s="39">
        <f t="shared" si="162"/>
        <v>0</v>
      </c>
      <c r="CQ63" s="41">
        <f t="shared" si="163"/>
        <v>-16134.461538461539</v>
      </c>
      <c r="CR63" s="41">
        <f t="shared" si="164"/>
        <v>-16134.461538461539</v>
      </c>
      <c r="CS63" s="41">
        <f t="shared" si="42"/>
        <v>-16134.461538461539</v>
      </c>
      <c r="CT63" s="16">
        <f t="shared" si="165"/>
        <v>0</v>
      </c>
    </row>
    <row r="64" spans="1:98" x14ac:dyDescent="0.25">
      <c r="B64" s="46" t="s">
        <v>37</v>
      </c>
      <c r="C64" s="54" t="s">
        <v>36</v>
      </c>
      <c r="D64" s="118">
        <v>27795</v>
      </c>
      <c r="E64" s="47">
        <v>-0.37018461538461545</v>
      </c>
      <c r="F64" s="34">
        <v>-10289.281384615386</v>
      </c>
      <c r="G64" s="55"/>
      <c r="H64" s="36"/>
      <c r="I64" s="37">
        <f t="shared" si="123"/>
        <v>0</v>
      </c>
      <c r="J64" s="38"/>
      <c r="K64" s="39">
        <f t="shared" si="124"/>
        <v>0</v>
      </c>
      <c r="L64" s="38"/>
      <c r="M64" s="39">
        <f t="shared" si="125"/>
        <v>0</v>
      </c>
      <c r="N64" s="38"/>
      <c r="O64" s="39">
        <f t="shared" si="126"/>
        <v>0</v>
      </c>
      <c r="P64" s="38"/>
      <c r="Q64" s="39">
        <f t="shared" si="127"/>
        <v>0</v>
      </c>
      <c r="R64" s="55"/>
      <c r="S64" s="56"/>
      <c r="T64" s="37">
        <f t="shared" si="128"/>
        <v>0</v>
      </c>
      <c r="U64" s="57"/>
      <c r="V64" s="39">
        <f t="shared" si="129"/>
        <v>0</v>
      </c>
      <c r="W64" s="57"/>
      <c r="X64" s="39">
        <f t="shared" si="130"/>
        <v>0</v>
      </c>
      <c r="Y64" s="57"/>
      <c r="Z64" s="39">
        <f t="shared" si="131"/>
        <v>0</v>
      </c>
      <c r="AA64" s="57"/>
      <c r="AB64" s="39">
        <f t="shared" si="132"/>
        <v>0</v>
      </c>
      <c r="AC64" s="55"/>
      <c r="AD64" s="56"/>
      <c r="AE64" s="37">
        <f t="shared" si="133"/>
        <v>0</v>
      </c>
      <c r="AF64" s="57"/>
      <c r="AG64" s="39">
        <f t="shared" si="134"/>
        <v>0</v>
      </c>
      <c r="AH64" s="57"/>
      <c r="AI64" s="39">
        <f t="shared" si="135"/>
        <v>0</v>
      </c>
      <c r="AJ64" s="57"/>
      <c r="AK64" s="39">
        <f t="shared" si="136"/>
        <v>0</v>
      </c>
      <c r="AL64" s="57"/>
      <c r="AM64" s="39">
        <f t="shared" si="137"/>
        <v>0</v>
      </c>
      <c r="AN64" s="55"/>
      <c r="AO64" s="56">
        <v>0.2</v>
      </c>
      <c r="AP64" s="37">
        <f t="shared" si="138"/>
        <v>-2057.8562769230771</v>
      </c>
      <c r="AQ64" s="57"/>
      <c r="AR64" s="39">
        <f t="shared" si="139"/>
        <v>0</v>
      </c>
      <c r="AS64" s="57"/>
      <c r="AT64" s="39">
        <f t="shared" si="140"/>
        <v>0</v>
      </c>
      <c r="AU64" s="57"/>
      <c r="AV64" s="39">
        <f t="shared" si="141"/>
        <v>0</v>
      </c>
      <c r="AW64" s="57">
        <v>1</v>
      </c>
      <c r="AX64" s="39">
        <f t="shared" si="142"/>
        <v>-2057.8562769230771</v>
      </c>
      <c r="AY64" s="55"/>
      <c r="AZ64" s="56"/>
      <c r="BA64" s="37">
        <f t="shared" si="143"/>
        <v>0</v>
      </c>
      <c r="BB64" s="57"/>
      <c r="BC64" s="39">
        <f t="shared" si="144"/>
        <v>0</v>
      </c>
      <c r="BD64" s="57"/>
      <c r="BE64" s="39">
        <f t="shared" si="145"/>
        <v>0</v>
      </c>
      <c r="BF64" s="57"/>
      <c r="BG64" s="39">
        <f t="shared" si="146"/>
        <v>0</v>
      </c>
      <c r="BH64" s="57"/>
      <c r="BI64" s="39">
        <f t="shared" si="147"/>
        <v>0</v>
      </c>
      <c r="BJ64" s="55"/>
      <c r="BK64" s="56">
        <v>0.8</v>
      </c>
      <c r="BL64" s="37">
        <f t="shared" si="148"/>
        <v>-8231.4251076923083</v>
      </c>
      <c r="BM64" s="57"/>
      <c r="BN64" s="39">
        <f t="shared" si="149"/>
        <v>0</v>
      </c>
      <c r="BO64" s="57"/>
      <c r="BP64" s="39">
        <f t="shared" si="150"/>
        <v>0</v>
      </c>
      <c r="BQ64" s="57"/>
      <c r="BR64" s="39">
        <f t="shared" si="151"/>
        <v>0</v>
      </c>
      <c r="BS64" s="57">
        <v>1</v>
      </c>
      <c r="BT64" s="39">
        <f t="shared" si="152"/>
        <v>-8231.4251076923083</v>
      </c>
      <c r="BU64" s="55"/>
      <c r="BV64" s="56"/>
      <c r="BW64" s="37">
        <f t="shared" si="153"/>
        <v>0</v>
      </c>
      <c r="BX64" s="57"/>
      <c r="BY64" s="39">
        <f t="shared" si="154"/>
        <v>0</v>
      </c>
      <c r="BZ64" s="57"/>
      <c r="CA64" s="39">
        <f t="shared" si="155"/>
        <v>0</v>
      </c>
      <c r="CB64" s="57"/>
      <c r="CC64" s="39">
        <f t="shared" si="156"/>
        <v>0</v>
      </c>
      <c r="CD64" s="57"/>
      <c r="CE64" s="39">
        <f t="shared" si="157"/>
        <v>0</v>
      </c>
      <c r="CF64" s="55"/>
      <c r="CG64" s="56"/>
      <c r="CH64" s="37">
        <f t="shared" si="158"/>
        <v>0</v>
      </c>
      <c r="CI64" s="57"/>
      <c r="CJ64" s="39">
        <f t="shared" si="159"/>
        <v>0</v>
      </c>
      <c r="CK64" s="57"/>
      <c r="CL64" s="39">
        <f t="shared" si="160"/>
        <v>0</v>
      </c>
      <c r="CM64" s="57"/>
      <c r="CN64" s="39">
        <f t="shared" si="161"/>
        <v>0</v>
      </c>
      <c r="CO64" s="57"/>
      <c r="CP64" s="39">
        <f t="shared" si="162"/>
        <v>0</v>
      </c>
      <c r="CQ64" s="41">
        <f t="shared" si="163"/>
        <v>-10289.281384615386</v>
      </c>
      <c r="CR64" s="41">
        <f t="shared" si="164"/>
        <v>-10289.281384615386</v>
      </c>
      <c r="CS64" s="41">
        <f t="shared" si="42"/>
        <v>-10289.281384615386</v>
      </c>
      <c r="CT64" s="16">
        <f t="shared" si="165"/>
        <v>0</v>
      </c>
    </row>
    <row r="65" spans="1:98" x14ac:dyDescent="0.25">
      <c r="B65" s="44"/>
      <c r="C65" s="54"/>
      <c r="D65" s="53"/>
      <c r="E65" s="34"/>
      <c r="F65" s="34">
        <v>0</v>
      </c>
      <c r="G65" s="55"/>
      <c r="H65" s="36"/>
      <c r="I65" s="37">
        <f t="shared" si="123"/>
        <v>0</v>
      </c>
      <c r="J65" s="38"/>
      <c r="K65" s="39">
        <f t="shared" si="124"/>
        <v>0</v>
      </c>
      <c r="L65" s="38"/>
      <c r="M65" s="39">
        <f t="shared" si="125"/>
        <v>0</v>
      </c>
      <c r="N65" s="38"/>
      <c r="O65" s="39">
        <f t="shared" si="126"/>
        <v>0</v>
      </c>
      <c r="P65" s="38"/>
      <c r="Q65" s="39">
        <f t="shared" si="127"/>
        <v>0</v>
      </c>
      <c r="R65" s="55"/>
      <c r="S65" s="56"/>
      <c r="T65" s="37">
        <f t="shared" si="128"/>
        <v>0</v>
      </c>
      <c r="U65" s="57"/>
      <c r="V65" s="39">
        <f t="shared" si="129"/>
        <v>0</v>
      </c>
      <c r="W65" s="57"/>
      <c r="X65" s="39">
        <f t="shared" si="130"/>
        <v>0</v>
      </c>
      <c r="Y65" s="57"/>
      <c r="Z65" s="39">
        <f t="shared" si="131"/>
        <v>0</v>
      </c>
      <c r="AA65" s="57"/>
      <c r="AB65" s="39">
        <f t="shared" si="132"/>
        <v>0</v>
      </c>
      <c r="AC65" s="55"/>
      <c r="AD65" s="56"/>
      <c r="AE65" s="37">
        <f t="shared" si="133"/>
        <v>0</v>
      </c>
      <c r="AF65" s="57"/>
      <c r="AG65" s="39">
        <f t="shared" si="134"/>
        <v>0</v>
      </c>
      <c r="AH65" s="57"/>
      <c r="AI65" s="39">
        <f t="shared" si="135"/>
        <v>0</v>
      </c>
      <c r="AJ65" s="57"/>
      <c r="AK65" s="39">
        <f t="shared" si="136"/>
        <v>0</v>
      </c>
      <c r="AL65" s="57"/>
      <c r="AM65" s="39">
        <f t="shared" si="137"/>
        <v>0</v>
      </c>
      <c r="AN65" s="55"/>
      <c r="AO65" s="56"/>
      <c r="AP65" s="37">
        <f t="shared" si="138"/>
        <v>0</v>
      </c>
      <c r="AQ65" s="57"/>
      <c r="AR65" s="39">
        <f t="shared" si="139"/>
        <v>0</v>
      </c>
      <c r="AS65" s="57"/>
      <c r="AT65" s="39">
        <f t="shared" si="140"/>
        <v>0</v>
      </c>
      <c r="AU65" s="57"/>
      <c r="AV65" s="39">
        <f t="shared" si="141"/>
        <v>0</v>
      </c>
      <c r="AW65" s="57"/>
      <c r="AX65" s="39">
        <f t="shared" si="142"/>
        <v>0</v>
      </c>
      <c r="AY65" s="55"/>
      <c r="AZ65" s="56"/>
      <c r="BA65" s="37">
        <f t="shared" si="143"/>
        <v>0</v>
      </c>
      <c r="BB65" s="57"/>
      <c r="BC65" s="39">
        <f t="shared" si="144"/>
        <v>0</v>
      </c>
      <c r="BD65" s="57"/>
      <c r="BE65" s="39">
        <f t="shared" si="145"/>
        <v>0</v>
      </c>
      <c r="BF65" s="57"/>
      <c r="BG65" s="39">
        <f t="shared" si="146"/>
        <v>0</v>
      </c>
      <c r="BH65" s="57"/>
      <c r="BI65" s="39">
        <f t="shared" si="147"/>
        <v>0</v>
      </c>
      <c r="BJ65" s="55"/>
      <c r="BK65" s="56"/>
      <c r="BL65" s="37">
        <f t="shared" si="148"/>
        <v>0</v>
      </c>
      <c r="BM65" s="57"/>
      <c r="BN65" s="39">
        <f t="shared" si="149"/>
        <v>0</v>
      </c>
      <c r="BO65" s="57"/>
      <c r="BP65" s="39">
        <f t="shared" si="150"/>
        <v>0</v>
      </c>
      <c r="BQ65" s="57"/>
      <c r="BR65" s="39">
        <f t="shared" si="151"/>
        <v>0</v>
      </c>
      <c r="BS65" s="57"/>
      <c r="BT65" s="39">
        <f t="shared" si="152"/>
        <v>0</v>
      </c>
      <c r="BU65" s="55"/>
      <c r="BV65" s="56"/>
      <c r="BW65" s="37">
        <f t="shared" si="153"/>
        <v>0</v>
      </c>
      <c r="BX65" s="57"/>
      <c r="BY65" s="39">
        <f t="shared" si="154"/>
        <v>0</v>
      </c>
      <c r="BZ65" s="57"/>
      <c r="CA65" s="39">
        <f t="shared" si="155"/>
        <v>0</v>
      </c>
      <c r="CB65" s="57"/>
      <c r="CC65" s="39">
        <f t="shared" si="156"/>
        <v>0</v>
      </c>
      <c r="CD65" s="57"/>
      <c r="CE65" s="39">
        <f t="shared" si="157"/>
        <v>0</v>
      </c>
      <c r="CF65" s="55"/>
      <c r="CG65" s="56"/>
      <c r="CH65" s="37">
        <f t="shared" si="158"/>
        <v>0</v>
      </c>
      <c r="CI65" s="57"/>
      <c r="CJ65" s="39">
        <f t="shared" si="159"/>
        <v>0</v>
      </c>
      <c r="CK65" s="57"/>
      <c r="CL65" s="39">
        <f t="shared" si="160"/>
        <v>0</v>
      </c>
      <c r="CM65" s="57"/>
      <c r="CN65" s="39">
        <f t="shared" si="161"/>
        <v>0</v>
      </c>
      <c r="CO65" s="57"/>
      <c r="CP65" s="39">
        <f t="shared" si="162"/>
        <v>0</v>
      </c>
      <c r="CQ65" s="41">
        <f t="shared" si="163"/>
        <v>0</v>
      </c>
      <c r="CR65" s="41">
        <f t="shared" si="164"/>
        <v>0</v>
      </c>
      <c r="CS65" s="41">
        <f t="shared" si="42"/>
        <v>0</v>
      </c>
      <c r="CT65" s="16">
        <f t="shared" si="165"/>
        <v>0</v>
      </c>
    </row>
    <row r="66" spans="1:98" x14ac:dyDescent="0.25">
      <c r="A66" s="1" t="s">
        <v>47</v>
      </c>
      <c r="B66" s="44"/>
      <c r="C66" s="54"/>
      <c r="D66" s="53"/>
      <c r="E66" s="34"/>
      <c r="F66" s="34">
        <v>0</v>
      </c>
      <c r="G66" s="55"/>
      <c r="H66" s="36"/>
      <c r="I66" s="37">
        <f t="shared" si="123"/>
        <v>0</v>
      </c>
      <c r="J66" s="38"/>
      <c r="K66" s="39">
        <f t="shared" si="124"/>
        <v>0</v>
      </c>
      <c r="L66" s="38"/>
      <c r="M66" s="39">
        <f t="shared" si="125"/>
        <v>0</v>
      </c>
      <c r="N66" s="38"/>
      <c r="O66" s="39">
        <f t="shared" si="126"/>
        <v>0</v>
      </c>
      <c r="P66" s="38"/>
      <c r="Q66" s="39">
        <f t="shared" si="127"/>
        <v>0</v>
      </c>
      <c r="R66" s="55"/>
      <c r="S66" s="56"/>
      <c r="T66" s="37">
        <f t="shared" si="128"/>
        <v>0</v>
      </c>
      <c r="U66" s="57"/>
      <c r="V66" s="39">
        <f t="shared" si="129"/>
        <v>0</v>
      </c>
      <c r="W66" s="57"/>
      <c r="X66" s="39">
        <f t="shared" si="130"/>
        <v>0</v>
      </c>
      <c r="Y66" s="57"/>
      <c r="Z66" s="39">
        <f t="shared" si="131"/>
        <v>0</v>
      </c>
      <c r="AA66" s="57"/>
      <c r="AB66" s="39">
        <f t="shared" si="132"/>
        <v>0</v>
      </c>
      <c r="AC66" s="55"/>
      <c r="AD66" s="56"/>
      <c r="AE66" s="37">
        <f t="shared" si="133"/>
        <v>0</v>
      </c>
      <c r="AF66" s="57"/>
      <c r="AG66" s="39">
        <f t="shared" si="134"/>
        <v>0</v>
      </c>
      <c r="AH66" s="57"/>
      <c r="AI66" s="39">
        <f t="shared" si="135"/>
        <v>0</v>
      </c>
      <c r="AJ66" s="57"/>
      <c r="AK66" s="39">
        <f t="shared" si="136"/>
        <v>0</v>
      </c>
      <c r="AL66" s="57"/>
      <c r="AM66" s="39">
        <f t="shared" si="137"/>
        <v>0</v>
      </c>
      <c r="AN66" s="55"/>
      <c r="AO66" s="56"/>
      <c r="AP66" s="37">
        <f t="shared" si="138"/>
        <v>0</v>
      </c>
      <c r="AQ66" s="57"/>
      <c r="AR66" s="39">
        <f t="shared" si="139"/>
        <v>0</v>
      </c>
      <c r="AS66" s="57"/>
      <c r="AT66" s="39">
        <f t="shared" si="140"/>
        <v>0</v>
      </c>
      <c r="AU66" s="57"/>
      <c r="AV66" s="39">
        <f t="shared" si="141"/>
        <v>0</v>
      </c>
      <c r="AW66" s="57"/>
      <c r="AX66" s="39">
        <f t="shared" si="142"/>
        <v>0</v>
      </c>
      <c r="AY66" s="55"/>
      <c r="AZ66" s="56"/>
      <c r="BA66" s="37">
        <f t="shared" si="143"/>
        <v>0</v>
      </c>
      <c r="BB66" s="57"/>
      <c r="BC66" s="39">
        <f t="shared" si="144"/>
        <v>0</v>
      </c>
      <c r="BD66" s="57"/>
      <c r="BE66" s="39">
        <f t="shared" si="145"/>
        <v>0</v>
      </c>
      <c r="BF66" s="57"/>
      <c r="BG66" s="39">
        <f t="shared" si="146"/>
        <v>0</v>
      </c>
      <c r="BH66" s="57"/>
      <c r="BI66" s="39">
        <f t="shared" si="147"/>
        <v>0</v>
      </c>
      <c r="BJ66" s="55"/>
      <c r="BK66" s="56"/>
      <c r="BL66" s="37">
        <f t="shared" si="148"/>
        <v>0</v>
      </c>
      <c r="BM66" s="57"/>
      <c r="BN66" s="39">
        <f t="shared" si="149"/>
        <v>0</v>
      </c>
      <c r="BO66" s="57"/>
      <c r="BP66" s="39">
        <f t="shared" si="150"/>
        <v>0</v>
      </c>
      <c r="BQ66" s="57"/>
      <c r="BR66" s="39">
        <f t="shared" si="151"/>
        <v>0</v>
      </c>
      <c r="BS66" s="57"/>
      <c r="BT66" s="39">
        <f t="shared" si="152"/>
        <v>0</v>
      </c>
      <c r="BU66" s="55"/>
      <c r="BV66" s="56"/>
      <c r="BW66" s="37">
        <f t="shared" si="153"/>
        <v>0</v>
      </c>
      <c r="BX66" s="57"/>
      <c r="BY66" s="39">
        <f t="shared" si="154"/>
        <v>0</v>
      </c>
      <c r="BZ66" s="57"/>
      <c r="CA66" s="39">
        <f t="shared" si="155"/>
        <v>0</v>
      </c>
      <c r="CB66" s="57"/>
      <c r="CC66" s="39">
        <f t="shared" si="156"/>
        <v>0</v>
      </c>
      <c r="CD66" s="57"/>
      <c r="CE66" s="39">
        <f t="shared" si="157"/>
        <v>0</v>
      </c>
      <c r="CF66" s="55"/>
      <c r="CG66" s="56"/>
      <c r="CH66" s="37">
        <f t="shared" si="158"/>
        <v>0</v>
      </c>
      <c r="CI66" s="57"/>
      <c r="CJ66" s="39">
        <f t="shared" si="159"/>
        <v>0</v>
      </c>
      <c r="CK66" s="57"/>
      <c r="CL66" s="39">
        <f t="shared" si="160"/>
        <v>0</v>
      </c>
      <c r="CM66" s="57"/>
      <c r="CN66" s="39">
        <f t="shared" si="161"/>
        <v>0</v>
      </c>
      <c r="CO66" s="57"/>
      <c r="CP66" s="39">
        <f t="shared" si="162"/>
        <v>0</v>
      </c>
      <c r="CQ66" s="41">
        <f t="shared" si="163"/>
        <v>0</v>
      </c>
      <c r="CR66" s="41">
        <f t="shared" si="164"/>
        <v>0</v>
      </c>
      <c r="CS66" s="41">
        <f t="shared" si="42"/>
        <v>0</v>
      </c>
      <c r="CT66" s="16">
        <f t="shared" si="165"/>
        <v>0</v>
      </c>
    </row>
    <row r="67" spans="1:98" x14ac:dyDescent="0.25">
      <c r="B67" s="44" t="s">
        <v>48</v>
      </c>
      <c r="C67" s="54" t="s">
        <v>33</v>
      </c>
      <c r="D67" s="53">
        <v>125</v>
      </c>
      <c r="E67" s="34">
        <v>240</v>
      </c>
      <c r="F67" s="34">
        <v>30000</v>
      </c>
      <c r="G67" s="55"/>
      <c r="H67" s="36"/>
      <c r="I67" s="37">
        <f t="shared" si="123"/>
        <v>0</v>
      </c>
      <c r="J67" s="38"/>
      <c r="K67" s="39">
        <f t="shared" si="124"/>
        <v>0</v>
      </c>
      <c r="L67" s="38"/>
      <c r="M67" s="39">
        <f t="shared" si="125"/>
        <v>0</v>
      </c>
      <c r="N67" s="38"/>
      <c r="O67" s="39">
        <f t="shared" si="126"/>
        <v>0</v>
      </c>
      <c r="P67" s="38"/>
      <c r="Q67" s="39">
        <f t="shared" si="127"/>
        <v>0</v>
      </c>
      <c r="R67" s="55"/>
      <c r="S67" s="56"/>
      <c r="T67" s="37">
        <f t="shared" si="128"/>
        <v>0</v>
      </c>
      <c r="U67" s="57"/>
      <c r="V67" s="39">
        <f t="shared" si="129"/>
        <v>0</v>
      </c>
      <c r="W67" s="57"/>
      <c r="X67" s="39">
        <f t="shared" si="130"/>
        <v>0</v>
      </c>
      <c r="Y67" s="57"/>
      <c r="Z67" s="39">
        <f t="shared" si="131"/>
        <v>0</v>
      </c>
      <c r="AA67" s="57"/>
      <c r="AB67" s="39">
        <f t="shared" si="132"/>
        <v>0</v>
      </c>
      <c r="AC67" s="55"/>
      <c r="AD67" s="56">
        <v>0.6</v>
      </c>
      <c r="AE67" s="37">
        <f t="shared" si="133"/>
        <v>18000</v>
      </c>
      <c r="AF67" s="57">
        <v>0.42</v>
      </c>
      <c r="AG67" s="39">
        <f t="shared" si="134"/>
        <v>7560</v>
      </c>
      <c r="AH67" s="57">
        <v>0.47</v>
      </c>
      <c r="AI67" s="39">
        <f t="shared" si="135"/>
        <v>8460</v>
      </c>
      <c r="AJ67" s="57">
        <v>0.1</v>
      </c>
      <c r="AK67" s="39">
        <f t="shared" si="136"/>
        <v>1800</v>
      </c>
      <c r="AL67" s="57">
        <v>0.01</v>
      </c>
      <c r="AM67" s="39">
        <f t="shared" si="137"/>
        <v>180</v>
      </c>
      <c r="AN67" s="55"/>
      <c r="AO67" s="56">
        <v>0.2</v>
      </c>
      <c r="AP67" s="37">
        <f t="shared" si="138"/>
        <v>6000</v>
      </c>
      <c r="AQ67" s="57">
        <v>0.42</v>
      </c>
      <c r="AR67" s="39">
        <f t="shared" si="139"/>
        <v>2520</v>
      </c>
      <c r="AS67" s="57">
        <v>0.47</v>
      </c>
      <c r="AT67" s="39">
        <f t="shared" si="140"/>
        <v>2820</v>
      </c>
      <c r="AU67" s="57">
        <v>0.1</v>
      </c>
      <c r="AV67" s="39">
        <f t="shared" si="141"/>
        <v>600</v>
      </c>
      <c r="AW67" s="57">
        <v>0.01</v>
      </c>
      <c r="AX67" s="39">
        <f t="shared" si="142"/>
        <v>60</v>
      </c>
      <c r="AY67" s="55"/>
      <c r="AZ67" s="56">
        <v>0.15</v>
      </c>
      <c r="BA67" s="37">
        <f t="shared" si="143"/>
        <v>4500</v>
      </c>
      <c r="BB67" s="57">
        <v>0.42</v>
      </c>
      <c r="BC67" s="39">
        <f t="shared" si="144"/>
        <v>1890</v>
      </c>
      <c r="BD67" s="57">
        <v>0.47</v>
      </c>
      <c r="BE67" s="39">
        <f t="shared" si="145"/>
        <v>2115</v>
      </c>
      <c r="BF67" s="57">
        <v>0.1</v>
      </c>
      <c r="BG67" s="39">
        <f t="shared" si="146"/>
        <v>450</v>
      </c>
      <c r="BH67" s="57">
        <v>0.01</v>
      </c>
      <c r="BI67" s="39">
        <f t="shared" si="147"/>
        <v>45</v>
      </c>
      <c r="BJ67" s="55"/>
      <c r="BK67" s="56">
        <v>0.05</v>
      </c>
      <c r="BL67" s="37">
        <f t="shared" si="148"/>
        <v>1500</v>
      </c>
      <c r="BM67" s="57">
        <v>0.42</v>
      </c>
      <c r="BN67" s="39">
        <f t="shared" si="149"/>
        <v>630</v>
      </c>
      <c r="BO67" s="57">
        <v>0.47</v>
      </c>
      <c r="BP67" s="39">
        <f t="shared" si="150"/>
        <v>705</v>
      </c>
      <c r="BQ67" s="57">
        <v>0.1</v>
      </c>
      <c r="BR67" s="39">
        <f t="shared" si="151"/>
        <v>150</v>
      </c>
      <c r="BS67" s="57">
        <v>0.01</v>
      </c>
      <c r="BT67" s="39">
        <f t="shared" si="152"/>
        <v>15</v>
      </c>
      <c r="BU67" s="55"/>
      <c r="BV67" s="56"/>
      <c r="BW67" s="37">
        <f t="shared" si="153"/>
        <v>0</v>
      </c>
      <c r="BX67" s="57"/>
      <c r="BY67" s="39">
        <f t="shared" si="154"/>
        <v>0</v>
      </c>
      <c r="BZ67" s="57"/>
      <c r="CA67" s="39">
        <f t="shared" si="155"/>
        <v>0</v>
      </c>
      <c r="CB67" s="57"/>
      <c r="CC67" s="39">
        <f t="shared" si="156"/>
        <v>0</v>
      </c>
      <c r="CD67" s="57"/>
      <c r="CE67" s="39">
        <f t="shared" si="157"/>
        <v>0</v>
      </c>
      <c r="CF67" s="55"/>
      <c r="CG67" s="56"/>
      <c r="CH67" s="37">
        <f t="shared" si="158"/>
        <v>0</v>
      </c>
      <c r="CI67" s="57"/>
      <c r="CJ67" s="39">
        <f t="shared" si="159"/>
        <v>0</v>
      </c>
      <c r="CK67" s="57"/>
      <c r="CL67" s="39">
        <f t="shared" si="160"/>
        <v>0</v>
      </c>
      <c r="CM67" s="57"/>
      <c r="CN67" s="39">
        <f t="shared" si="161"/>
        <v>0</v>
      </c>
      <c r="CO67" s="57"/>
      <c r="CP67" s="39">
        <f t="shared" si="162"/>
        <v>0</v>
      </c>
      <c r="CQ67" s="41">
        <f t="shared" si="163"/>
        <v>30000</v>
      </c>
      <c r="CR67" s="41">
        <f t="shared" si="164"/>
        <v>30000</v>
      </c>
      <c r="CS67" s="41">
        <f t="shared" si="42"/>
        <v>30000</v>
      </c>
      <c r="CT67" s="16">
        <f t="shared" si="165"/>
        <v>0</v>
      </c>
    </row>
    <row r="68" spans="1:98" x14ac:dyDescent="0.25">
      <c r="B68" s="44" t="s">
        <v>49</v>
      </c>
      <c r="C68" s="54" t="s">
        <v>33</v>
      </c>
      <c r="D68" s="53">
        <v>125</v>
      </c>
      <c r="E68" s="34">
        <v>-180.52631578947367</v>
      </c>
      <c r="F68" s="34">
        <v>-22565.78947368421</v>
      </c>
      <c r="G68" s="55"/>
      <c r="H68" s="36"/>
      <c r="I68" s="37">
        <f t="shared" si="123"/>
        <v>0</v>
      </c>
      <c r="J68" s="38"/>
      <c r="K68" s="39">
        <f t="shared" si="124"/>
        <v>0</v>
      </c>
      <c r="L68" s="38"/>
      <c r="M68" s="39">
        <f t="shared" si="125"/>
        <v>0</v>
      </c>
      <c r="N68" s="38"/>
      <c r="O68" s="39">
        <f t="shared" si="126"/>
        <v>0</v>
      </c>
      <c r="P68" s="38"/>
      <c r="Q68" s="39">
        <f t="shared" si="127"/>
        <v>0</v>
      </c>
      <c r="R68" s="55"/>
      <c r="S68" s="56"/>
      <c r="T68" s="37">
        <f t="shared" si="128"/>
        <v>0</v>
      </c>
      <c r="U68" s="57"/>
      <c r="V68" s="39">
        <f t="shared" si="129"/>
        <v>0</v>
      </c>
      <c r="W68" s="57"/>
      <c r="X68" s="39">
        <f t="shared" si="130"/>
        <v>0</v>
      </c>
      <c r="Y68" s="57"/>
      <c r="Z68" s="39">
        <f t="shared" si="131"/>
        <v>0</v>
      </c>
      <c r="AA68" s="57"/>
      <c r="AB68" s="39">
        <f t="shared" si="132"/>
        <v>0</v>
      </c>
      <c r="AC68" s="55"/>
      <c r="AD68" s="56">
        <v>0.6</v>
      </c>
      <c r="AE68" s="37">
        <f t="shared" si="133"/>
        <v>-13539.473684210525</v>
      </c>
      <c r="AF68" s="57">
        <v>0.42</v>
      </c>
      <c r="AG68" s="39">
        <f t="shared" si="134"/>
        <v>-5686.5789473684199</v>
      </c>
      <c r="AH68" s="57">
        <v>0.47</v>
      </c>
      <c r="AI68" s="39">
        <f t="shared" si="135"/>
        <v>-6363.5526315789466</v>
      </c>
      <c r="AJ68" s="57">
        <v>0.1</v>
      </c>
      <c r="AK68" s="39">
        <f t="shared" si="136"/>
        <v>-1353.9473684210525</v>
      </c>
      <c r="AL68" s="57">
        <v>0.01</v>
      </c>
      <c r="AM68" s="39">
        <f t="shared" si="137"/>
        <v>-135.39473684210526</v>
      </c>
      <c r="AN68" s="55"/>
      <c r="AO68" s="56">
        <v>0.25</v>
      </c>
      <c r="AP68" s="37">
        <f t="shared" si="138"/>
        <v>-5641.4473684210525</v>
      </c>
      <c r="AQ68" s="57">
        <v>0.42</v>
      </c>
      <c r="AR68" s="39">
        <f t="shared" si="139"/>
        <v>-2369.4078947368421</v>
      </c>
      <c r="AS68" s="57">
        <v>0.47</v>
      </c>
      <c r="AT68" s="39">
        <f t="shared" si="140"/>
        <v>-2651.4802631578946</v>
      </c>
      <c r="AU68" s="57">
        <v>0.1</v>
      </c>
      <c r="AV68" s="39">
        <f t="shared" si="141"/>
        <v>-564.14473684210532</v>
      </c>
      <c r="AW68" s="57">
        <v>0.01</v>
      </c>
      <c r="AX68" s="39">
        <f t="shared" si="142"/>
        <v>-56.414473684210527</v>
      </c>
      <c r="AY68" s="55"/>
      <c r="AZ68" s="56">
        <v>0.15</v>
      </c>
      <c r="BA68" s="37">
        <f t="shared" si="143"/>
        <v>-3384.8684210526312</v>
      </c>
      <c r="BB68" s="57">
        <v>0.42</v>
      </c>
      <c r="BC68" s="39">
        <f t="shared" si="144"/>
        <v>-1421.644736842105</v>
      </c>
      <c r="BD68" s="57">
        <v>0.47</v>
      </c>
      <c r="BE68" s="39">
        <f t="shared" si="145"/>
        <v>-1590.8881578947367</v>
      </c>
      <c r="BF68" s="57">
        <v>0.1</v>
      </c>
      <c r="BG68" s="39">
        <f t="shared" si="146"/>
        <v>-338.48684210526312</v>
      </c>
      <c r="BH68" s="57">
        <v>0.01</v>
      </c>
      <c r="BI68" s="39">
        <f t="shared" si="147"/>
        <v>-33.848684210526315</v>
      </c>
      <c r="BJ68" s="55"/>
      <c r="BK68" s="56"/>
      <c r="BL68" s="37">
        <f t="shared" si="148"/>
        <v>0</v>
      </c>
      <c r="BM68" s="57"/>
      <c r="BN68" s="39">
        <f t="shared" si="149"/>
        <v>0</v>
      </c>
      <c r="BO68" s="57"/>
      <c r="BP68" s="39">
        <f t="shared" si="150"/>
        <v>0</v>
      </c>
      <c r="BQ68" s="57"/>
      <c r="BR68" s="39">
        <f t="shared" si="151"/>
        <v>0</v>
      </c>
      <c r="BS68" s="57"/>
      <c r="BT68" s="39">
        <f t="shared" si="152"/>
        <v>0</v>
      </c>
      <c r="BU68" s="55"/>
      <c r="BV68" s="56"/>
      <c r="BW68" s="37">
        <f t="shared" si="153"/>
        <v>0</v>
      </c>
      <c r="BX68" s="57"/>
      <c r="BY68" s="39">
        <f t="shared" si="154"/>
        <v>0</v>
      </c>
      <c r="BZ68" s="57"/>
      <c r="CA68" s="39">
        <f t="shared" si="155"/>
        <v>0</v>
      </c>
      <c r="CB68" s="57"/>
      <c r="CC68" s="39">
        <f t="shared" si="156"/>
        <v>0</v>
      </c>
      <c r="CD68" s="57"/>
      <c r="CE68" s="39">
        <f t="shared" si="157"/>
        <v>0</v>
      </c>
      <c r="CF68" s="55"/>
      <c r="CG68" s="56"/>
      <c r="CH68" s="37">
        <f t="shared" si="158"/>
        <v>0</v>
      </c>
      <c r="CI68" s="57"/>
      <c r="CJ68" s="39">
        <f t="shared" si="159"/>
        <v>0</v>
      </c>
      <c r="CK68" s="57"/>
      <c r="CL68" s="39">
        <f t="shared" si="160"/>
        <v>0</v>
      </c>
      <c r="CM68" s="57"/>
      <c r="CN68" s="39">
        <f t="shared" si="161"/>
        <v>0</v>
      </c>
      <c r="CO68" s="57"/>
      <c r="CP68" s="39">
        <f t="shared" si="162"/>
        <v>0</v>
      </c>
      <c r="CQ68" s="41">
        <f t="shared" si="163"/>
        <v>-22565.78947368421</v>
      </c>
      <c r="CR68" s="41">
        <f t="shared" si="164"/>
        <v>-22565.789473684206</v>
      </c>
      <c r="CS68" s="41">
        <f t="shared" si="42"/>
        <v>-22565.789473684206</v>
      </c>
      <c r="CT68" s="16">
        <f t="shared" si="165"/>
        <v>0</v>
      </c>
    </row>
    <row r="69" spans="1:98" x14ac:dyDescent="0.25">
      <c r="B69" s="51" t="s">
        <v>41</v>
      </c>
      <c r="C69" s="54" t="s">
        <v>33</v>
      </c>
      <c r="D69" s="53">
        <v>35</v>
      </c>
      <c r="E69" s="34">
        <v>65</v>
      </c>
      <c r="F69" s="34">
        <v>2275</v>
      </c>
      <c r="G69" s="55"/>
      <c r="H69" s="36"/>
      <c r="I69" s="37">
        <f t="shared" si="123"/>
        <v>0</v>
      </c>
      <c r="J69" s="38"/>
      <c r="K69" s="39">
        <f t="shared" si="124"/>
        <v>0</v>
      </c>
      <c r="L69" s="38"/>
      <c r="M69" s="39">
        <f t="shared" si="125"/>
        <v>0</v>
      </c>
      <c r="N69" s="38"/>
      <c r="O69" s="39">
        <f t="shared" si="126"/>
        <v>0</v>
      </c>
      <c r="P69" s="38"/>
      <c r="Q69" s="39">
        <f t="shared" si="127"/>
        <v>0</v>
      </c>
      <c r="R69" s="55"/>
      <c r="S69" s="56">
        <v>0.14285714285714288</v>
      </c>
      <c r="T69" s="37">
        <f t="shared" si="128"/>
        <v>325.00000000000006</v>
      </c>
      <c r="U69" s="57">
        <v>0.42</v>
      </c>
      <c r="V69" s="39">
        <f t="shared" si="129"/>
        <v>136.50000000000003</v>
      </c>
      <c r="W69" s="57">
        <v>0.47</v>
      </c>
      <c r="X69" s="39">
        <f t="shared" si="130"/>
        <v>152.75000000000003</v>
      </c>
      <c r="Y69" s="57">
        <v>0.1</v>
      </c>
      <c r="Z69" s="39">
        <f t="shared" si="131"/>
        <v>32.500000000000007</v>
      </c>
      <c r="AA69" s="57">
        <v>0.01</v>
      </c>
      <c r="AB69" s="39">
        <f t="shared" si="132"/>
        <v>3.2500000000000004</v>
      </c>
      <c r="AC69" s="55"/>
      <c r="AD69" s="56">
        <v>0.14285714285714288</v>
      </c>
      <c r="AE69" s="37">
        <f t="shared" si="133"/>
        <v>325.00000000000006</v>
      </c>
      <c r="AF69" s="57">
        <v>0.42</v>
      </c>
      <c r="AG69" s="39">
        <f t="shared" si="134"/>
        <v>136.50000000000003</v>
      </c>
      <c r="AH69" s="57">
        <v>0.47</v>
      </c>
      <c r="AI69" s="39">
        <f t="shared" si="135"/>
        <v>152.75000000000003</v>
      </c>
      <c r="AJ69" s="57">
        <v>0.1</v>
      </c>
      <c r="AK69" s="39">
        <f t="shared" si="136"/>
        <v>32.500000000000007</v>
      </c>
      <c r="AL69" s="57">
        <v>0.01</v>
      </c>
      <c r="AM69" s="39">
        <f t="shared" si="137"/>
        <v>3.2500000000000004</v>
      </c>
      <c r="AN69" s="55"/>
      <c r="AO69" s="56">
        <v>0.14285714285714288</v>
      </c>
      <c r="AP69" s="37">
        <f t="shared" si="138"/>
        <v>325.00000000000006</v>
      </c>
      <c r="AQ69" s="57">
        <v>0.42</v>
      </c>
      <c r="AR69" s="39">
        <f t="shared" si="139"/>
        <v>136.50000000000003</v>
      </c>
      <c r="AS69" s="57">
        <v>0.47</v>
      </c>
      <c r="AT69" s="39">
        <f t="shared" si="140"/>
        <v>152.75000000000003</v>
      </c>
      <c r="AU69" s="57">
        <v>0.1</v>
      </c>
      <c r="AV69" s="39">
        <f t="shared" si="141"/>
        <v>32.500000000000007</v>
      </c>
      <c r="AW69" s="57">
        <v>0.01</v>
      </c>
      <c r="AX69" s="39">
        <f t="shared" si="142"/>
        <v>3.2500000000000004</v>
      </c>
      <c r="AY69" s="55"/>
      <c r="AZ69" s="56">
        <v>0.14285714285714288</v>
      </c>
      <c r="BA69" s="37">
        <f t="shared" si="143"/>
        <v>325.00000000000006</v>
      </c>
      <c r="BB69" s="57">
        <v>0.42</v>
      </c>
      <c r="BC69" s="39">
        <f t="shared" si="144"/>
        <v>136.50000000000003</v>
      </c>
      <c r="BD69" s="57">
        <v>0.47</v>
      </c>
      <c r="BE69" s="39">
        <f t="shared" si="145"/>
        <v>152.75000000000003</v>
      </c>
      <c r="BF69" s="57">
        <v>0.1</v>
      </c>
      <c r="BG69" s="39">
        <f t="shared" si="146"/>
        <v>32.500000000000007</v>
      </c>
      <c r="BH69" s="57">
        <v>0.01</v>
      </c>
      <c r="BI69" s="39">
        <f t="shared" si="147"/>
        <v>3.2500000000000004</v>
      </c>
      <c r="BJ69" s="55"/>
      <c r="BK69" s="56">
        <v>0.14285714285714288</v>
      </c>
      <c r="BL69" s="37">
        <f t="shared" si="148"/>
        <v>325.00000000000006</v>
      </c>
      <c r="BM69" s="57">
        <v>0.42</v>
      </c>
      <c r="BN69" s="39">
        <f t="shared" si="149"/>
        <v>136.50000000000003</v>
      </c>
      <c r="BO69" s="57">
        <v>0.47</v>
      </c>
      <c r="BP69" s="39">
        <f t="shared" si="150"/>
        <v>152.75000000000003</v>
      </c>
      <c r="BQ69" s="57">
        <v>0.1</v>
      </c>
      <c r="BR69" s="39">
        <f t="shared" si="151"/>
        <v>32.500000000000007</v>
      </c>
      <c r="BS69" s="57">
        <v>0.01</v>
      </c>
      <c r="BT69" s="39">
        <f t="shared" si="152"/>
        <v>3.2500000000000004</v>
      </c>
      <c r="BU69" s="55"/>
      <c r="BV69" s="56">
        <v>0.14285714285714288</v>
      </c>
      <c r="BW69" s="37">
        <f t="shared" si="153"/>
        <v>325.00000000000006</v>
      </c>
      <c r="BX69" s="57">
        <v>0.42</v>
      </c>
      <c r="BY69" s="39">
        <f t="shared" si="154"/>
        <v>136.50000000000003</v>
      </c>
      <c r="BZ69" s="57">
        <v>0.47</v>
      </c>
      <c r="CA69" s="39">
        <f t="shared" si="155"/>
        <v>152.75000000000003</v>
      </c>
      <c r="CB69" s="57">
        <v>0.1</v>
      </c>
      <c r="CC69" s="39">
        <f t="shared" si="156"/>
        <v>32.500000000000007</v>
      </c>
      <c r="CD69" s="57">
        <v>0.01</v>
      </c>
      <c r="CE69" s="39">
        <f t="shared" si="157"/>
        <v>3.2500000000000004</v>
      </c>
      <c r="CF69" s="55"/>
      <c r="CG69" s="56">
        <v>0.14285714285714288</v>
      </c>
      <c r="CH69" s="37">
        <f t="shared" si="158"/>
        <v>325.00000000000006</v>
      </c>
      <c r="CI69" s="57">
        <v>0.42</v>
      </c>
      <c r="CJ69" s="39">
        <f t="shared" si="159"/>
        <v>136.50000000000003</v>
      </c>
      <c r="CK69" s="57">
        <v>0.47</v>
      </c>
      <c r="CL69" s="39">
        <f t="shared" si="160"/>
        <v>152.75000000000003</v>
      </c>
      <c r="CM69" s="57">
        <v>0.1</v>
      </c>
      <c r="CN69" s="39">
        <f t="shared" si="161"/>
        <v>32.500000000000007</v>
      </c>
      <c r="CO69" s="57">
        <v>0.01</v>
      </c>
      <c r="CP69" s="39">
        <f t="shared" si="162"/>
        <v>3.2500000000000004</v>
      </c>
      <c r="CQ69" s="41">
        <f t="shared" si="163"/>
        <v>2275</v>
      </c>
      <c r="CR69" s="41">
        <f t="shared" si="164"/>
        <v>2275.0000000000005</v>
      </c>
      <c r="CS69" s="41">
        <f t="shared" ref="CS69:CS73" si="166">SUM(CP69,CN69,CL69,CJ69,CE69,CC69,CA69,BY69,BT69,BR69,BP69,BN69,BI69,BG69,BE69,BC69,AX69,AV69,AT69,AR69,AM69,AK69,AI69,AG69,AB69,Z69,X69,V69,Q69,O69,M69,K69)</f>
        <v>2275.0000000000005</v>
      </c>
      <c r="CT69" s="16">
        <f t="shared" si="165"/>
        <v>0</v>
      </c>
    </row>
    <row r="70" spans="1:98" x14ac:dyDescent="0.25">
      <c r="B70" s="44"/>
      <c r="C70" s="54"/>
      <c r="D70" s="43"/>
      <c r="E70" s="34"/>
      <c r="F70" s="34"/>
      <c r="G70" s="55"/>
      <c r="H70" s="36"/>
      <c r="I70" s="37">
        <f t="shared" si="123"/>
        <v>0</v>
      </c>
      <c r="J70" s="38"/>
      <c r="K70" s="39">
        <f t="shared" si="124"/>
        <v>0</v>
      </c>
      <c r="L70" s="38"/>
      <c r="M70" s="39">
        <f t="shared" si="125"/>
        <v>0</v>
      </c>
      <c r="N70" s="38"/>
      <c r="O70" s="39">
        <f t="shared" si="126"/>
        <v>0</v>
      </c>
      <c r="P70" s="38"/>
      <c r="Q70" s="39">
        <f t="shared" si="127"/>
        <v>0</v>
      </c>
      <c r="R70" s="55"/>
      <c r="S70" s="56"/>
      <c r="T70" s="37">
        <f t="shared" si="128"/>
        <v>0</v>
      </c>
      <c r="U70" s="57"/>
      <c r="V70" s="39">
        <f t="shared" si="129"/>
        <v>0</v>
      </c>
      <c r="W70" s="57"/>
      <c r="X70" s="39">
        <f t="shared" si="130"/>
        <v>0</v>
      </c>
      <c r="Y70" s="57"/>
      <c r="Z70" s="39">
        <f t="shared" si="131"/>
        <v>0</v>
      </c>
      <c r="AA70" s="57"/>
      <c r="AB70" s="39">
        <f t="shared" si="132"/>
        <v>0</v>
      </c>
      <c r="AC70" s="55"/>
      <c r="AD70" s="56"/>
      <c r="AE70" s="37">
        <f t="shared" si="133"/>
        <v>0</v>
      </c>
      <c r="AF70" s="57"/>
      <c r="AG70" s="39">
        <f t="shared" si="134"/>
        <v>0</v>
      </c>
      <c r="AH70" s="57"/>
      <c r="AI70" s="39">
        <f t="shared" si="135"/>
        <v>0</v>
      </c>
      <c r="AJ70" s="57"/>
      <c r="AK70" s="39">
        <f t="shared" si="136"/>
        <v>0</v>
      </c>
      <c r="AL70" s="57"/>
      <c r="AM70" s="39">
        <f t="shared" si="137"/>
        <v>0</v>
      </c>
      <c r="AN70" s="55"/>
      <c r="AO70" s="56"/>
      <c r="AP70" s="37">
        <f t="shared" si="138"/>
        <v>0</v>
      </c>
      <c r="AQ70" s="57"/>
      <c r="AR70" s="39">
        <f t="shared" si="139"/>
        <v>0</v>
      </c>
      <c r="AS70" s="57"/>
      <c r="AT70" s="39">
        <f t="shared" si="140"/>
        <v>0</v>
      </c>
      <c r="AU70" s="57"/>
      <c r="AV70" s="39">
        <f t="shared" si="141"/>
        <v>0</v>
      </c>
      <c r="AW70" s="57"/>
      <c r="AX70" s="39">
        <f t="shared" si="142"/>
        <v>0</v>
      </c>
      <c r="AY70" s="55"/>
      <c r="AZ70" s="56"/>
      <c r="BA70" s="37">
        <f t="shared" si="143"/>
        <v>0</v>
      </c>
      <c r="BB70" s="57"/>
      <c r="BC70" s="39">
        <f t="shared" si="144"/>
        <v>0</v>
      </c>
      <c r="BD70" s="57"/>
      <c r="BE70" s="39">
        <f t="shared" si="145"/>
        <v>0</v>
      </c>
      <c r="BF70" s="57"/>
      <c r="BG70" s="39">
        <f t="shared" si="146"/>
        <v>0</v>
      </c>
      <c r="BH70" s="57"/>
      <c r="BI70" s="39">
        <f t="shared" si="147"/>
        <v>0</v>
      </c>
      <c r="BJ70" s="55"/>
      <c r="BK70" s="56"/>
      <c r="BL70" s="37">
        <f t="shared" si="148"/>
        <v>0</v>
      </c>
      <c r="BM70" s="57"/>
      <c r="BN70" s="39">
        <f t="shared" si="149"/>
        <v>0</v>
      </c>
      <c r="BO70" s="57"/>
      <c r="BP70" s="39">
        <f t="shared" si="150"/>
        <v>0</v>
      </c>
      <c r="BQ70" s="57"/>
      <c r="BR70" s="39">
        <f t="shared" si="151"/>
        <v>0</v>
      </c>
      <c r="BS70" s="57"/>
      <c r="BT70" s="39">
        <f t="shared" si="152"/>
        <v>0</v>
      </c>
      <c r="BU70" s="55"/>
      <c r="BV70" s="56"/>
      <c r="BW70" s="37">
        <f t="shared" si="153"/>
        <v>0</v>
      </c>
      <c r="BX70" s="57"/>
      <c r="BY70" s="39">
        <f t="shared" si="154"/>
        <v>0</v>
      </c>
      <c r="BZ70" s="57"/>
      <c r="CA70" s="39">
        <f t="shared" si="155"/>
        <v>0</v>
      </c>
      <c r="CB70" s="57"/>
      <c r="CC70" s="39">
        <f t="shared" si="156"/>
        <v>0</v>
      </c>
      <c r="CD70" s="57"/>
      <c r="CE70" s="39">
        <f t="shared" si="157"/>
        <v>0</v>
      </c>
      <c r="CF70" s="55"/>
      <c r="CG70" s="56"/>
      <c r="CH70" s="37">
        <f t="shared" si="158"/>
        <v>0</v>
      </c>
      <c r="CI70" s="57"/>
      <c r="CJ70" s="39">
        <f t="shared" si="159"/>
        <v>0</v>
      </c>
      <c r="CK70" s="57"/>
      <c r="CL70" s="39">
        <f t="shared" si="160"/>
        <v>0</v>
      </c>
      <c r="CM70" s="57"/>
      <c r="CN70" s="39">
        <f t="shared" si="161"/>
        <v>0</v>
      </c>
      <c r="CO70" s="57"/>
      <c r="CP70" s="39">
        <f t="shared" si="162"/>
        <v>0</v>
      </c>
      <c r="CQ70" s="41">
        <f t="shared" si="163"/>
        <v>0</v>
      </c>
      <c r="CR70" s="41">
        <f t="shared" si="164"/>
        <v>0</v>
      </c>
      <c r="CS70" s="41">
        <f t="shared" si="166"/>
        <v>0</v>
      </c>
      <c r="CT70" s="16">
        <f t="shared" si="165"/>
        <v>0</v>
      </c>
    </row>
    <row r="71" spans="1:98" x14ac:dyDescent="0.25">
      <c r="B71" s="58" t="s">
        <v>0</v>
      </c>
      <c r="C71" s="59"/>
      <c r="D71" s="60"/>
      <c r="E71" s="61"/>
      <c r="F71" s="62">
        <v>3504235.4239763543</v>
      </c>
      <c r="G71" s="62">
        <f>SUM(G4:G70)</f>
        <v>0</v>
      </c>
      <c r="H71" s="62"/>
      <c r="I71" s="62">
        <f>SUM(I4:I70)</f>
        <v>267500</v>
      </c>
      <c r="J71" s="62"/>
      <c r="K71" s="62">
        <f>SUM(K4:K70)</f>
        <v>112350</v>
      </c>
      <c r="L71" s="62"/>
      <c r="M71" s="62">
        <f>SUM(M4:M70)</f>
        <v>125725</v>
      </c>
      <c r="N71" s="62"/>
      <c r="O71" s="62">
        <f>SUM(O4:O70)</f>
        <v>26750</v>
      </c>
      <c r="P71" s="62"/>
      <c r="Q71" s="62">
        <f>SUM(Q4:Q70)</f>
        <v>2675</v>
      </c>
      <c r="R71" s="62">
        <f>SUM(R4:R70)</f>
        <v>0</v>
      </c>
      <c r="S71" s="62"/>
      <c r="T71" s="62">
        <f>SUM(T4:T70)</f>
        <v>2284566.3758542328</v>
      </c>
      <c r="U71" s="62"/>
      <c r="V71" s="62">
        <f>SUM(V4:V70)</f>
        <v>1064795.4749735449</v>
      </c>
      <c r="W71" s="62"/>
      <c r="X71" s="62">
        <f>SUM(X4:X70)</f>
        <v>1121144.4365949736</v>
      </c>
      <c r="Y71" s="62"/>
      <c r="Z71" s="62">
        <f>SUM(Z4:Z70)</f>
        <v>89636.78571428571</v>
      </c>
      <c r="AA71" s="62"/>
      <c r="AB71" s="62">
        <f>SUM(AB4:AB70)</f>
        <v>8989.6785714285706</v>
      </c>
      <c r="AC71" s="62">
        <f>SUM(AC4:AC70)</f>
        <v>0</v>
      </c>
      <c r="AD71" s="62"/>
      <c r="AE71" s="62">
        <f>SUM(AE4:AE70)</f>
        <v>1320495.461125188</v>
      </c>
      <c r="AF71" s="62"/>
      <c r="AG71" s="62">
        <f>SUM(AG4:AG70)</f>
        <v>658655.27887218061</v>
      </c>
      <c r="AH71" s="62"/>
      <c r="AI71" s="62">
        <f>SUM(AI4:AI70)</f>
        <v>656223.06007255649</v>
      </c>
      <c r="AJ71" s="62"/>
      <c r="AK71" s="62">
        <f>SUM(AK4:AK70)</f>
        <v>5082.8383458646622</v>
      </c>
      <c r="AL71" s="62"/>
      <c r="AM71" s="62">
        <f>SUM(AM4:AM70)</f>
        <v>534.28383458646613</v>
      </c>
      <c r="AN71" s="62">
        <f>SUM(AN4:AN70)</f>
        <v>0</v>
      </c>
      <c r="AO71" s="62"/>
      <c r="AP71" s="62">
        <f>SUM(AP4:AP70)</f>
        <v>-16894.331159611502</v>
      </c>
      <c r="AQ71" s="62"/>
      <c r="AR71" s="62">
        <f>SUM(AR4:AR70)</f>
        <v>-90154.039408206139</v>
      </c>
      <c r="AS71" s="62"/>
      <c r="AT71" s="62">
        <f>SUM(AT4:AT70)</f>
        <v>-126731.09101120882</v>
      </c>
      <c r="AU71" s="62"/>
      <c r="AV71" s="62">
        <f>SUM(AV4:AV70)</f>
        <v>183004.89143898219</v>
      </c>
      <c r="AW71" s="62"/>
      <c r="AX71" s="62">
        <f>SUM(AX4:AX70)</f>
        <v>16985.907820821292</v>
      </c>
      <c r="AY71" s="62">
        <f>SUM(AY4:AY70)</f>
        <v>0</v>
      </c>
      <c r="AZ71" s="62"/>
      <c r="BA71" s="62">
        <f>SUM(BA4:BA70)</f>
        <v>-51066.721980075192</v>
      </c>
      <c r="BB71" s="62"/>
      <c r="BC71" s="62">
        <f>SUM(BC4:BC70)</f>
        <v>-32324.446127819581</v>
      </c>
      <c r="BD71" s="62"/>
      <c r="BE71" s="62">
        <f>SUM(BE4:BE70)</f>
        <v>-39666.404611654129</v>
      </c>
      <c r="BF71" s="62"/>
      <c r="BG71" s="62">
        <f>SUM(BG4:BG70)</f>
        <v>18998.29887218045</v>
      </c>
      <c r="BH71" s="62"/>
      <c r="BI71" s="62">
        <f>SUM(BI4:BI70)</f>
        <v>1925.8298872180453</v>
      </c>
      <c r="BJ71" s="62">
        <f>SUM(BJ4:BJ70)</f>
        <v>0</v>
      </c>
      <c r="BK71" s="62"/>
      <c r="BL71" s="62">
        <f>SUM(BL4:BL70)</f>
        <v>-389261.07453480904</v>
      </c>
      <c r="BM71" s="62"/>
      <c r="BN71" s="62">
        <f>SUM(BN4:BN70)</f>
        <v>-130991.84272263743</v>
      </c>
      <c r="BO71" s="62"/>
      <c r="BP71" s="62">
        <f>SUM(BP4:BP70)</f>
        <v>-152940.6189901935</v>
      </c>
      <c r="BQ71" s="62"/>
      <c r="BR71" s="62">
        <f>SUM(BR4:BR70)</f>
        <v>-83939.799484094867</v>
      </c>
      <c r="BS71" s="62"/>
      <c r="BT71" s="62">
        <f>SUM(BT4:BT70)</f>
        <v>-21388.81333788317</v>
      </c>
      <c r="BU71" s="62">
        <f>SUM(BU4:BU70)</f>
        <v>0</v>
      </c>
      <c r="BV71" s="62"/>
      <c r="BW71" s="62">
        <f>SUM(BW4:BW70)</f>
        <v>44447.857335714296</v>
      </c>
      <c r="BX71" s="62"/>
      <c r="BY71" s="62">
        <f>SUM(BY4:BY70)</f>
        <v>18536.215714285714</v>
      </c>
      <c r="BZ71" s="62"/>
      <c r="CA71" s="62">
        <f>SUM(CA4:CA70)</f>
        <v>20785.177335714285</v>
      </c>
      <c r="CB71" s="62"/>
      <c r="CC71" s="62">
        <f>SUM(CC4:CC70)</f>
        <v>4636.7857142857147</v>
      </c>
      <c r="CD71" s="62"/>
      <c r="CE71" s="62">
        <f>SUM(CE4:CE70)</f>
        <v>489.67857142857144</v>
      </c>
      <c r="CF71" s="62">
        <f>SUM(CF4:CF70)</f>
        <v>0</v>
      </c>
      <c r="CG71" s="62"/>
      <c r="CH71" s="62">
        <f>SUM(CH4:CH70)</f>
        <v>44447.857335714296</v>
      </c>
      <c r="CI71" s="62"/>
      <c r="CJ71" s="62">
        <f>SUM(CJ4:CJ70)</f>
        <v>18536.215714285714</v>
      </c>
      <c r="CK71" s="62"/>
      <c r="CL71" s="62">
        <f>SUM(CL4:CL70)</f>
        <v>20785.177335714285</v>
      </c>
      <c r="CM71" s="62"/>
      <c r="CN71" s="62">
        <f>SUM(CN4:CN70)</f>
        <v>4636.7857142857147</v>
      </c>
      <c r="CO71" s="62"/>
      <c r="CP71" s="62">
        <f>SUM(CP4:CP70)</f>
        <v>489.67857142857144</v>
      </c>
      <c r="CQ71" s="41">
        <f t="shared" si="163"/>
        <v>3504235.4239763543</v>
      </c>
      <c r="CR71" s="41">
        <f t="shared" si="164"/>
        <v>3504235.4239763529</v>
      </c>
      <c r="CS71" s="41">
        <f t="shared" si="166"/>
        <v>3504235.4239763538</v>
      </c>
      <c r="CT71" s="16">
        <f t="shared" si="165"/>
        <v>0</v>
      </c>
    </row>
    <row r="72" spans="1:98" x14ac:dyDescent="0.25">
      <c r="I72" s="37">
        <f>H72*F72</f>
        <v>0</v>
      </c>
      <c r="CQ72" s="41">
        <f t="shared" si="163"/>
        <v>0</v>
      </c>
      <c r="CR72" s="41">
        <f t="shared" si="164"/>
        <v>0</v>
      </c>
      <c r="CS72" s="41">
        <f t="shared" si="166"/>
        <v>0</v>
      </c>
      <c r="CT72" s="16">
        <f t="shared" si="43"/>
        <v>0</v>
      </c>
    </row>
    <row r="73" spans="1:98" x14ac:dyDescent="0.25">
      <c r="B73" s="48" t="s">
        <v>51</v>
      </c>
      <c r="C73" s="42" t="s">
        <v>33</v>
      </c>
      <c r="D73" s="43">
        <v>1157.4074074074074</v>
      </c>
      <c r="E73" s="34">
        <v>65</v>
      </c>
      <c r="F73" s="34">
        <v>75231.481481481474</v>
      </c>
      <c r="G73" s="40"/>
      <c r="H73" s="36"/>
      <c r="I73" s="37">
        <f t="shared" ref="I73" si="167">H73*$F73</f>
        <v>0</v>
      </c>
      <c r="J73" s="38"/>
      <c r="K73" s="39">
        <f t="shared" ref="K73" si="168">J73*I73</f>
        <v>0</v>
      </c>
      <c r="L73" s="38"/>
      <c r="M73" s="39">
        <f t="shared" ref="M73" si="169">L73*I73</f>
        <v>0</v>
      </c>
      <c r="N73" s="38"/>
      <c r="O73" s="39">
        <f t="shared" ref="O73" si="170">N73*I73</f>
        <v>0</v>
      </c>
      <c r="P73" s="38"/>
      <c r="Q73" s="39">
        <f t="shared" ref="Q73" si="171">P73*I73</f>
        <v>0</v>
      </c>
      <c r="R73" s="40"/>
      <c r="S73" s="36"/>
      <c r="T73" s="37">
        <f t="shared" ref="T73" si="172">S73*$F73</f>
        <v>0</v>
      </c>
      <c r="U73" s="38"/>
      <c r="V73" s="39">
        <f t="shared" ref="V73" si="173">U73*T73</f>
        <v>0</v>
      </c>
      <c r="W73" s="38"/>
      <c r="X73" s="39">
        <f t="shared" ref="X73" si="174">W73*T73</f>
        <v>0</v>
      </c>
      <c r="Y73" s="38"/>
      <c r="Z73" s="39">
        <f t="shared" ref="Z73" si="175">Y73*T73</f>
        <v>0</v>
      </c>
      <c r="AA73" s="38"/>
      <c r="AB73" s="39">
        <f t="shared" ref="AB73" si="176">AA73*T73</f>
        <v>0</v>
      </c>
      <c r="AC73" s="40"/>
      <c r="AD73" s="36"/>
      <c r="AE73" s="37">
        <f t="shared" ref="AE73" si="177">AD73*$F73</f>
        <v>0</v>
      </c>
      <c r="AF73" s="38"/>
      <c r="AG73" s="39">
        <f t="shared" ref="AG73" si="178">AF73*AE73</f>
        <v>0</v>
      </c>
      <c r="AH73" s="38"/>
      <c r="AI73" s="39">
        <f t="shared" ref="AI73" si="179">AH73*AE73</f>
        <v>0</v>
      </c>
      <c r="AJ73" s="38"/>
      <c r="AK73" s="39">
        <f t="shared" ref="AK73" si="180">AJ73*AE73</f>
        <v>0</v>
      </c>
      <c r="AL73" s="38"/>
      <c r="AM73" s="39">
        <f t="shared" ref="AM73" si="181">AL73*AE73</f>
        <v>0</v>
      </c>
      <c r="AN73" s="40"/>
      <c r="AO73" s="36">
        <v>1</v>
      </c>
      <c r="AP73" s="37">
        <f t="shared" ref="AP73" si="182">AO73*$F73</f>
        <v>75231.481481481474</v>
      </c>
      <c r="AQ73" s="38">
        <v>0.42</v>
      </c>
      <c r="AR73" s="39">
        <f t="shared" ref="AR73" si="183">AQ73*AP73</f>
        <v>31597.222222222219</v>
      </c>
      <c r="AS73" s="38">
        <v>0.47</v>
      </c>
      <c r="AT73" s="39">
        <f t="shared" ref="AT73" si="184">AS73*AP73</f>
        <v>35358.796296296292</v>
      </c>
      <c r="AU73" s="38">
        <v>0.1</v>
      </c>
      <c r="AV73" s="39">
        <f t="shared" ref="AV73" si="185">AU73*AP73</f>
        <v>7523.1481481481478</v>
      </c>
      <c r="AW73" s="38">
        <v>0.01</v>
      </c>
      <c r="AX73" s="39">
        <f t="shared" ref="AX73" si="186">AW73*AP73</f>
        <v>752.31481481481478</v>
      </c>
      <c r="AY73" s="40"/>
      <c r="AZ73" s="36"/>
      <c r="BA73" s="37">
        <f t="shared" ref="BA73" si="187">AZ73*$F73</f>
        <v>0</v>
      </c>
      <c r="BB73" s="38"/>
      <c r="BC73" s="39">
        <f t="shared" ref="BC73" si="188">BB73*BA73</f>
        <v>0</v>
      </c>
      <c r="BD73" s="38"/>
      <c r="BE73" s="39">
        <f t="shared" ref="BE73" si="189">BD73*BA73</f>
        <v>0</v>
      </c>
      <c r="BF73" s="38"/>
      <c r="BG73" s="39">
        <f t="shared" ref="BG73" si="190">BF73*BA73</f>
        <v>0</v>
      </c>
      <c r="BH73" s="38"/>
      <c r="BI73" s="39">
        <f t="shared" ref="BI73" si="191">BH73*BA73</f>
        <v>0</v>
      </c>
      <c r="BJ73" s="40"/>
      <c r="BK73" s="36"/>
      <c r="BL73" s="37">
        <f t="shared" ref="BL73" si="192">BK73*$F73</f>
        <v>0</v>
      </c>
      <c r="BM73" s="38"/>
      <c r="BN73" s="39">
        <f t="shared" ref="BN73" si="193">BM73*BL73</f>
        <v>0</v>
      </c>
      <c r="BO73" s="38"/>
      <c r="BP73" s="39">
        <f t="shared" ref="BP73" si="194">BO73*BL73</f>
        <v>0</v>
      </c>
      <c r="BQ73" s="38"/>
      <c r="BR73" s="39">
        <f t="shared" ref="BR73" si="195">BQ73*BL73</f>
        <v>0</v>
      </c>
      <c r="BS73" s="38"/>
      <c r="BT73" s="39">
        <f t="shared" ref="BT73" si="196">BS73*BL73</f>
        <v>0</v>
      </c>
      <c r="BU73" s="40"/>
      <c r="BV73" s="36"/>
      <c r="BW73" s="37">
        <f t="shared" ref="BW73" si="197">BV73*$F73</f>
        <v>0</v>
      </c>
      <c r="BX73" s="38"/>
      <c r="BY73" s="39">
        <f t="shared" ref="BY73" si="198">BX73*BW73</f>
        <v>0</v>
      </c>
      <c r="BZ73" s="38"/>
      <c r="CA73" s="39">
        <f t="shared" ref="CA73" si="199">BZ73*BW73</f>
        <v>0</v>
      </c>
      <c r="CB73" s="38"/>
      <c r="CC73" s="39">
        <f t="shared" ref="CC73" si="200">CB73*BW73</f>
        <v>0</v>
      </c>
      <c r="CD73" s="38"/>
      <c r="CE73" s="39">
        <f t="shared" ref="CE73" si="201">CD73*BW73</f>
        <v>0</v>
      </c>
      <c r="CF73" s="40"/>
      <c r="CG73" s="36"/>
      <c r="CH73" s="37">
        <f t="shared" ref="CH73" si="202">CG73*$F73</f>
        <v>0</v>
      </c>
      <c r="CI73" s="38"/>
      <c r="CJ73" s="39">
        <f t="shared" ref="CJ73" si="203">CI73*CH73</f>
        <v>0</v>
      </c>
      <c r="CK73" s="38"/>
      <c r="CL73" s="39">
        <f t="shared" ref="CL73" si="204">CK73*CH73</f>
        <v>0</v>
      </c>
      <c r="CM73" s="38"/>
      <c r="CN73" s="39">
        <f t="shared" ref="CN73" si="205">CM73*CH73</f>
        <v>0</v>
      </c>
      <c r="CO73" s="38"/>
      <c r="CP73" s="39">
        <f t="shared" ref="CP73" si="206">CO73*CH73</f>
        <v>0</v>
      </c>
      <c r="CQ73" s="41">
        <f t="shared" si="163"/>
        <v>75231.481481481474</v>
      </c>
      <c r="CR73" s="41">
        <f t="shared" si="164"/>
        <v>75231.481481481474</v>
      </c>
      <c r="CS73" s="41">
        <f t="shared" si="166"/>
        <v>75231.481481481474</v>
      </c>
      <c r="CT73" s="16">
        <f t="shared" si="43"/>
        <v>0</v>
      </c>
    </row>
    <row r="74" spans="1:98" x14ac:dyDescent="0.25">
      <c r="B74" s="46"/>
      <c r="C74" s="54"/>
      <c r="D74" s="71"/>
      <c r="E74" s="72"/>
      <c r="F74" s="72"/>
      <c r="G74" s="55"/>
      <c r="H74" s="56"/>
      <c r="I74" s="73"/>
      <c r="J74" s="57"/>
      <c r="K74" s="74"/>
      <c r="L74" s="57"/>
      <c r="M74" s="74"/>
      <c r="N74" s="57"/>
      <c r="O74" s="74"/>
      <c r="P74" s="57"/>
      <c r="Q74" s="74"/>
      <c r="R74" s="55"/>
      <c r="S74" s="56"/>
      <c r="T74" s="73"/>
      <c r="U74" s="57"/>
      <c r="V74" s="74"/>
      <c r="W74" s="57"/>
      <c r="X74" s="74"/>
      <c r="Y74" s="57"/>
      <c r="Z74" s="74"/>
      <c r="AA74" s="57"/>
      <c r="AB74" s="74"/>
      <c r="AC74" s="55"/>
      <c r="AD74" s="56"/>
      <c r="AE74" s="73"/>
      <c r="AF74" s="57"/>
      <c r="AG74" s="74"/>
      <c r="AH74" s="57"/>
      <c r="AI74" s="74"/>
      <c r="AJ74" s="57"/>
      <c r="AK74" s="74"/>
      <c r="AL74" s="57"/>
      <c r="AM74" s="74"/>
      <c r="AN74" s="55"/>
      <c r="AO74" s="56"/>
      <c r="AP74" s="73"/>
      <c r="AQ74" s="57"/>
      <c r="AR74" s="74"/>
      <c r="AS74" s="57"/>
      <c r="AT74" s="74"/>
      <c r="AU74" s="57"/>
      <c r="AV74" s="74"/>
      <c r="AW74" s="57"/>
      <c r="AX74" s="74"/>
      <c r="AY74" s="55"/>
      <c r="AZ74" s="56"/>
      <c r="BA74" s="73"/>
      <c r="BB74" s="57"/>
      <c r="BC74" s="74"/>
      <c r="BD74" s="57"/>
      <c r="BE74" s="74"/>
      <c r="BF74" s="57"/>
      <c r="BG74" s="74"/>
      <c r="BH74" s="57"/>
      <c r="BI74" s="74"/>
      <c r="BJ74" s="55"/>
      <c r="BK74" s="56"/>
      <c r="BL74" s="73"/>
      <c r="BM74" s="57"/>
      <c r="BN74" s="74"/>
      <c r="BO74" s="57"/>
      <c r="BP74" s="74"/>
      <c r="BQ74" s="57"/>
      <c r="BR74" s="74"/>
      <c r="BS74" s="57"/>
      <c r="BT74" s="74"/>
      <c r="BU74" s="55"/>
      <c r="BV74" s="56"/>
      <c r="BW74" s="73"/>
      <c r="BX74" s="57"/>
      <c r="BY74" s="74"/>
      <c r="BZ74" s="57"/>
      <c r="CA74" s="74"/>
      <c r="CB74" s="57"/>
      <c r="CC74" s="74"/>
      <c r="CD74" s="57"/>
      <c r="CE74" s="74"/>
      <c r="CF74" s="55"/>
      <c r="CG74" s="56"/>
      <c r="CH74" s="73"/>
      <c r="CI74" s="57"/>
      <c r="CJ74" s="74"/>
      <c r="CK74" s="57"/>
      <c r="CL74" s="74"/>
      <c r="CM74" s="57"/>
      <c r="CN74" s="74"/>
      <c r="CO74" s="57"/>
      <c r="CP74" s="74"/>
      <c r="CQ74" s="41"/>
      <c r="CR74" s="41"/>
      <c r="CS74" s="41"/>
      <c r="CT74" s="16"/>
    </row>
    <row r="75" spans="1:98" x14ac:dyDescent="0.25">
      <c r="B75" s="46"/>
      <c r="C75" s="54"/>
      <c r="D75" s="71"/>
      <c r="E75" s="72"/>
      <c r="F75" s="72">
        <f>F71+F73</f>
        <v>3579466.9054578356</v>
      </c>
      <c r="G75" s="55"/>
      <c r="H75" s="56"/>
      <c r="I75" s="73"/>
      <c r="J75" s="57"/>
      <c r="K75" s="74"/>
      <c r="L75" s="57"/>
      <c r="M75" s="74"/>
      <c r="N75" s="57"/>
      <c r="O75" s="74"/>
      <c r="P75" s="57"/>
      <c r="Q75" s="74"/>
      <c r="R75" s="55"/>
      <c r="S75" s="56"/>
      <c r="T75" s="73"/>
      <c r="U75" s="57"/>
      <c r="V75" s="74"/>
      <c r="W75" s="57"/>
      <c r="X75" s="74"/>
      <c r="Y75" s="57"/>
      <c r="Z75" s="74"/>
      <c r="AA75" s="57"/>
      <c r="AB75" s="74"/>
      <c r="AC75" s="55"/>
      <c r="AD75" s="56"/>
      <c r="AE75" s="73"/>
      <c r="AF75" s="57"/>
      <c r="AG75" s="74"/>
      <c r="AH75" s="57"/>
      <c r="AI75" s="74"/>
      <c r="AJ75" s="57"/>
      <c r="AK75" s="74"/>
      <c r="AL75" s="57"/>
      <c r="AM75" s="74"/>
      <c r="AN75" s="55"/>
      <c r="AO75" s="56"/>
      <c r="AP75" s="73"/>
      <c r="AQ75" s="57"/>
      <c r="AR75" s="74"/>
      <c r="AS75" s="57"/>
      <c r="AT75" s="74"/>
      <c r="AU75" s="57"/>
      <c r="AV75" s="74"/>
      <c r="AW75" s="57"/>
      <c r="AX75" s="74"/>
      <c r="AY75" s="55"/>
      <c r="AZ75" s="56"/>
      <c r="BA75" s="73"/>
      <c r="BB75" s="57"/>
      <c r="BC75" s="74"/>
      <c r="BD75" s="57"/>
      <c r="BE75" s="74"/>
      <c r="BF75" s="57"/>
      <c r="BG75" s="74"/>
      <c r="BH75" s="57"/>
      <c r="BI75" s="74"/>
      <c r="BJ75" s="55"/>
      <c r="BK75" s="56"/>
      <c r="BL75" s="73"/>
      <c r="BM75" s="57"/>
      <c r="BN75" s="74"/>
      <c r="BO75" s="57"/>
      <c r="BP75" s="74"/>
      <c r="BQ75" s="57"/>
      <c r="BR75" s="74"/>
      <c r="BS75" s="57"/>
      <c r="BT75" s="74"/>
      <c r="BU75" s="55"/>
      <c r="BV75" s="56"/>
      <c r="BW75" s="73"/>
      <c r="BX75" s="57"/>
      <c r="BY75" s="74"/>
      <c r="BZ75" s="57"/>
      <c r="CA75" s="74"/>
      <c r="CB75" s="57"/>
      <c r="CC75" s="74"/>
      <c r="CD75" s="57"/>
      <c r="CE75" s="74"/>
      <c r="CF75" s="55"/>
      <c r="CG75" s="56"/>
      <c r="CH75" s="73"/>
      <c r="CI75" s="57"/>
      <c r="CJ75" s="74"/>
      <c r="CK75" s="57"/>
      <c r="CL75" s="74"/>
      <c r="CM75" s="57"/>
      <c r="CN75" s="74"/>
      <c r="CO75" s="57"/>
      <c r="CP75" s="74"/>
      <c r="CQ75" s="41"/>
      <c r="CR75" s="41"/>
      <c r="CS75" s="41"/>
      <c r="CT75" s="16"/>
    </row>
    <row r="76" spans="1:98" x14ac:dyDescent="0.25">
      <c r="B76" s="46"/>
      <c r="C76" s="54"/>
      <c r="D76" s="71"/>
      <c r="E76" s="72"/>
      <c r="F76" s="72"/>
      <c r="G76" s="55"/>
      <c r="H76" s="56"/>
      <c r="I76" s="119" t="s">
        <v>199</v>
      </c>
      <c r="J76" s="120"/>
      <c r="K76" s="121"/>
      <c r="L76" s="57"/>
      <c r="N76" s="57"/>
      <c r="O76" s="74"/>
      <c r="P76" s="57"/>
      <c r="Q76" s="74"/>
      <c r="R76" s="55"/>
      <c r="S76" s="56"/>
      <c r="T76" s="73"/>
      <c r="U76" s="57"/>
      <c r="V76" s="74"/>
      <c r="W76" s="57"/>
      <c r="X76" s="74"/>
      <c r="Y76" s="57"/>
      <c r="Z76" s="74"/>
      <c r="AA76" s="57"/>
      <c r="AB76" s="74"/>
      <c r="AC76" s="55"/>
      <c r="AD76" s="56"/>
      <c r="AE76" s="73"/>
      <c r="AF76" s="57"/>
      <c r="AG76" s="74"/>
      <c r="AH76" s="57"/>
      <c r="AI76" s="74"/>
      <c r="AJ76" s="57"/>
      <c r="AK76" s="74"/>
      <c r="AL76" s="57"/>
      <c r="AM76" s="74"/>
      <c r="AN76" s="55"/>
      <c r="AO76" s="56"/>
      <c r="AP76" s="73"/>
      <c r="AQ76" s="57"/>
      <c r="AR76" s="74"/>
      <c r="AS76" s="57"/>
      <c r="AT76" s="74"/>
      <c r="AU76" s="57"/>
      <c r="AV76" s="74"/>
      <c r="AW76" s="57"/>
      <c r="AX76" s="74"/>
      <c r="AY76" s="55"/>
      <c r="AZ76" s="56"/>
      <c r="BA76" s="73"/>
      <c r="BB76" s="57"/>
      <c r="BC76" s="74"/>
      <c r="BD76" s="57"/>
      <c r="BE76" s="74"/>
      <c r="BF76" s="57"/>
      <c r="BG76" s="74"/>
      <c r="BH76" s="57"/>
      <c r="BI76" s="74"/>
      <c r="BJ76" s="55"/>
      <c r="BK76" s="56"/>
      <c r="BL76" s="73"/>
      <c r="BM76" s="57"/>
      <c r="BN76" s="74"/>
      <c r="BO76" s="57"/>
      <c r="BP76" s="74"/>
      <c r="BQ76" s="57"/>
      <c r="BR76" s="74"/>
      <c r="BS76" s="57"/>
      <c r="BT76" s="74"/>
      <c r="BU76" s="55"/>
      <c r="BV76" s="56"/>
      <c r="BW76" s="73"/>
      <c r="BX76" s="57"/>
      <c r="BY76" s="74"/>
      <c r="BZ76" s="57"/>
      <c r="CA76" s="74"/>
      <c r="CB76" s="57"/>
      <c r="CC76" s="74"/>
      <c r="CD76" s="57"/>
      <c r="CE76" s="74"/>
      <c r="CF76" s="55"/>
      <c r="CG76" s="56"/>
      <c r="CH76" s="73"/>
      <c r="CI76" s="57"/>
      <c r="CJ76" s="74"/>
      <c r="CK76" s="57"/>
      <c r="CL76" s="74"/>
      <c r="CM76" s="57"/>
      <c r="CN76" s="74"/>
      <c r="CO76" s="57"/>
      <c r="CP76" s="74"/>
      <c r="CQ76" s="41"/>
      <c r="CR76" s="41"/>
      <c r="CS76" s="41"/>
      <c r="CT76" s="16"/>
    </row>
    <row r="77" spans="1:98" x14ac:dyDescent="0.25">
      <c r="I77" s="116" t="s">
        <v>200</v>
      </c>
      <c r="J77" s="122"/>
      <c r="K77" s="54"/>
      <c r="L77" s="123"/>
      <c r="N77" s="124"/>
      <c r="O77" s="124"/>
    </row>
    <row r="78" spans="1:98" x14ac:dyDescent="0.25">
      <c r="B78" s="75" t="s">
        <v>201</v>
      </c>
      <c r="I78" s="72">
        <v>-180.52631578947367</v>
      </c>
      <c r="J78" s="72"/>
      <c r="L78" s="124"/>
      <c r="N78" s="124"/>
      <c r="O78" s="124"/>
    </row>
    <row r="79" spans="1:98" x14ac:dyDescent="0.25">
      <c r="B79" s="75" t="s">
        <v>202</v>
      </c>
      <c r="I79" s="125">
        <v>-0.39039473684210513</v>
      </c>
      <c r="J79" s="125"/>
      <c r="L79" s="124"/>
      <c r="N79" s="124"/>
      <c r="O79" s="124"/>
    </row>
    <row r="80" spans="1:98" x14ac:dyDescent="0.25">
      <c r="B80" s="75" t="s">
        <v>203</v>
      </c>
      <c r="I80" s="125">
        <v>-0.37018461538461545</v>
      </c>
      <c r="J80" s="125"/>
      <c r="L80" s="124"/>
      <c r="N80" s="124"/>
      <c r="O80" s="124"/>
      <c r="V80" s="126"/>
      <c r="W80" s="127"/>
      <c r="X80" s="64"/>
    </row>
    <row r="81" spans="1:98" x14ac:dyDescent="0.25">
      <c r="B81" s="44" t="s">
        <v>204</v>
      </c>
      <c r="I81" s="125">
        <v>-0.18394000674081565</v>
      </c>
      <c r="J81" s="125"/>
      <c r="L81" s="124"/>
      <c r="N81" s="124"/>
      <c r="O81" s="124"/>
      <c r="V81" s="126"/>
      <c r="W81" s="127"/>
    </row>
    <row r="82" spans="1:98" x14ac:dyDescent="0.25">
      <c r="B82" s="44" t="s">
        <v>205</v>
      </c>
      <c r="I82" s="125">
        <v>-0.22371081900910006</v>
      </c>
      <c r="J82" s="125"/>
      <c r="L82" s="124"/>
      <c r="N82" s="124"/>
      <c r="O82" s="124"/>
      <c r="V82" s="126"/>
      <c r="W82" s="127"/>
    </row>
    <row r="83" spans="1:98" x14ac:dyDescent="0.25">
      <c r="B83" s="44" t="s">
        <v>206</v>
      </c>
      <c r="I83" s="72">
        <v>-460.98461538461538</v>
      </c>
      <c r="J83" s="72"/>
      <c r="L83" s="124"/>
      <c r="N83" s="124"/>
      <c r="O83" s="124"/>
      <c r="V83" s="126"/>
      <c r="W83" s="127"/>
    </row>
    <row r="84" spans="1:98" x14ac:dyDescent="0.25">
      <c r="B84" s="44" t="s">
        <v>207</v>
      </c>
      <c r="I84" s="125">
        <v>-0.36</v>
      </c>
      <c r="J84" s="125"/>
      <c r="L84" s="124"/>
      <c r="N84" s="124"/>
      <c r="O84" s="124"/>
      <c r="V84" s="126"/>
    </row>
    <row r="85" spans="1:98" x14ac:dyDescent="0.25">
      <c r="B85" s="44" t="s">
        <v>208</v>
      </c>
      <c r="I85" s="125">
        <v>-1.7512999999999999</v>
      </c>
      <c r="J85" s="125"/>
      <c r="L85" s="124"/>
      <c r="N85" s="124"/>
      <c r="O85" s="124"/>
    </row>
    <row r="86" spans="1:98" s="63" customFormat="1" x14ac:dyDescent="0.25">
      <c r="A86" s="1"/>
      <c r="B86" s="44" t="s">
        <v>209</v>
      </c>
      <c r="D86" s="64"/>
      <c r="E86" s="65"/>
      <c r="F86" s="66"/>
      <c r="G86" s="67"/>
      <c r="H86" s="68"/>
      <c r="I86" s="125">
        <v>-1.5825</v>
      </c>
      <c r="J86" s="128"/>
      <c r="L86" s="124"/>
      <c r="N86" s="124"/>
      <c r="O86" s="124"/>
      <c r="P86" s="7"/>
      <c r="Q86" s="2"/>
      <c r="R86" s="67"/>
      <c r="S86" s="68"/>
      <c r="T86" s="7"/>
      <c r="U86" s="69"/>
      <c r="V86" s="7"/>
      <c r="W86" s="7"/>
      <c r="X86" s="2"/>
      <c r="Y86" s="7"/>
      <c r="Z86" s="7"/>
      <c r="AA86" s="7"/>
      <c r="AB86" s="2"/>
      <c r="AC86" s="70"/>
      <c r="AD86" s="68"/>
      <c r="AE86" s="7"/>
      <c r="AF86" s="69"/>
      <c r="AG86" s="7"/>
      <c r="AH86" s="7"/>
      <c r="AI86" s="2"/>
      <c r="AJ86" s="7"/>
      <c r="AK86" s="7"/>
      <c r="AL86" s="7"/>
      <c r="AM86" s="2"/>
      <c r="AN86" s="70"/>
      <c r="AO86" s="68"/>
      <c r="AP86" s="7"/>
      <c r="AQ86" s="69"/>
      <c r="AR86" s="7"/>
      <c r="AS86" s="7"/>
      <c r="AT86" s="2"/>
      <c r="AU86" s="7"/>
      <c r="AV86" s="7"/>
      <c r="AW86" s="7"/>
      <c r="AX86" s="2"/>
      <c r="AY86" s="70"/>
      <c r="AZ86" s="68"/>
      <c r="BA86" s="7"/>
      <c r="BB86" s="69"/>
      <c r="BC86" s="7"/>
      <c r="BD86" s="7"/>
      <c r="BE86" s="2"/>
      <c r="BF86" s="7"/>
      <c r="BG86" s="7"/>
      <c r="BH86" s="7"/>
      <c r="BI86" s="2"/>
      <c r="BJ86" s="70"/>
      <c r="BK86" s="68"/>
      <c r="BL86" s="7"/>
      <c r="BM86" s="69"/>
      <c r="BN86" s="7"/>
      <c r="BO86" s="7"/>
      <c r="BP86" s="2"/>
      <c r="BQ86" s="7"/>
      <c r="BR86" s="7"/>
      <c r="BS86" s="7"/>
      <c r="BT86" s="2"/>
      <c r="BU86" s="70"/>
      <c r="BV86" s="68"/>
      <c r="BW86" s="7"/>
      <c r="BX86" s="69"/>
      <c r="BY86" s="7"/>
      <c r="BZ86" s="7"/>
      <c r="CA86" s="2"/>
      <c r="CB86" s="7"/>
      <c r="CC86" s="7"/>
      <c r="CD86" s="7"/>
      <c r="CE86" s="2"/>
      <c r="CF86" s="70"/>
      <c r="CG86" s="68"/>
      <c r="CH86" s="7"/>
      <c r="CI86" s="69"/>
      <c r="CJ86" s="7"/>
      <c r="CK86" s="7"/>
      <c r="CL86" s="2"/>
      <c r="CM86" s="7"/>
      <c r="CN86" s="7"/>
      <c r="CO86" s="7"/>
      <c r="CP86" s="2"/>
      <c r="CQ86" s="6"/>
      <c r="CR86" s="7"/>
      <c r="CS86" s="7"/>
      <c r="CT86" s="2"/>
    </row>
    <row r="87" spans="1:98" x14ac:dyDescent="0.25">
      <c r="B87" s="44" t="s">
        <v>210</v>
      </c>
      <c r="I87" s="125">
        <v>-0.27325581395348836</v>
      </c>
      <c r="J87" s="125"/>
      <c r="L87" s="124"/>
      <c r="N87" s="124"/>
      <c r="O87" s="124"/>
    </row>
    <row r="88" spans="1:98" x14ac:dyDescent="0.25">
      <c r="B88" s="44"/>
      <c r="I88" s="129"/>
      <c r="J88" s="128"/>
      <c r="K88" s="124"/>
      <c r="L88" s="124"/>
      <c r="N88" s="124"/>
      <c r="O88" s="124"/>
    </row>
    <row r="89" spans="1:98" x14ac:dyDescent="0.25">
      <c r="B89" s="75"/>
      <c r="I89" s="123"/>
      <c r="J89" s="128"/>
      <c r="K89" s="124"/>
      <c r="L89" s="124"/>
      <c r="M89" s="129"/>
      <c r="N89" s="124"/>
      <c r="O89" s="124"/>
    </row>
    <row r="90" spans="1:98" x14ac:dyDescent="0.25">
      <c r="B90" s="44"/>
      <c r="I90" s="123"/>
      <c r="J90" s="128"/>
      <c r="K90" s="124"/>
      <c r="L90" s="124"/>
      <c r="M90" s="129"/>
      <c r="N90" s="124"/>
      <c r="O90" s="124"/>
    </row>
  </sheetData>
  <mergeCells count="42">
    <mergeCell ref="BQ2:BR2"/>
    <mergeCell ref="CM2:CN2"/>
    <mergeCell ref="CO2:CP2"/>
    <mergeCell ref="BX2:BY2"/>
    <mergeCell ref="BZ2:CA2"/>
    <mergeCell ref="CB2:CC2"/>
    <mergeCell ref="CD2:CE2"/>
    <mergeCell ref="CI2:CJ2"/>
    <mergeCell ref="CK2:CL2"/>
    <mergeCell ref="BD2:BE2"/>
    <mergeCell ref="BF2:BG2"/>
    <mergeCell ref="BH2:BI2"/>
    <mergeCell ref="BM2:BN2"/>
    <mergeCell ref="BO2:BP2"/>
    <mergeCell ref="U2:V2"/>
    <mergeCell ref="W2:X2"/>
    <mergeCell ref="C1:F1"/>
    <mergeCell ref="H1:Q1"/>
    <mergeCell ref="S1:AB1"/>
    <mergeCell ref="Y2:Z2"/>
    <mergeCell ref="AA2:AB2"/>
    <mergeCell ref="C2:F2"/>
    <mergeCell ref="J2:K2"/>
    <mergeCell ref="L2:M2"/>
    <mergeCell ref="N2:O2"/>
    <mergeCell ref="P2:Q2"/>
    <mergeCell ref="AZ1:BI1"/>
    <mergeCell ref="AL2:AM2"/>
    <mergeCell ref="BK1:BR1"/>
    <mergeCell ref="BV1:CE1"/>
    <mergeCell ref="CG1:CP1"/>
    <mergeCell ref="AD1:AM1"/>
    <mergeCell ref="AO1:AX1"/>
    <mergeCell ref="AF2:AG2"/>
    <mergeCell ref="AH2:AI2"/>
    <mergeCell ref="AJ2:AK2"/>
    <mergeCell ref="BS2:BT2"/>
    <mergeCell ref="AQ2:AR2"/>
    <mergeCell ref="AS2:AT2"/>
    <mergeCell ref="AU2:AV2"/>
    <mergeCell ref="AW2:AX2"/>
    <mergeCell ref="BB2:BC2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17" max="60" man="1"/>
    <brk id="28" max="60" man="1"/>
    <brk id="39" max="60" man="1"/>
    <brk id="50" max="60" man="1"/>
    <brk id="61" max="60" man="1"/>
    <brk id="72" max="60" man="1"/>
    <brk id="83" max="6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X38"/>
  <sheetViews>
    <sheetView topLeftCell="A10" workbookViewId="0">
      <selection activeCell="A31" sqref="A31:XFD38"/>
    </sheetView>
  </sheetViews>
  <sheetFormatPr defaultRowHeight="15" x14ac:dyDescent="0.25"/>
  <sheetData>
    <row r="16" spans="1:24" s="137" customFormat="1" x14ac:dyDescent="0.25">
      <c r="A16" s="86" t="s">
        <v>63</v>
      </c>
      <c r="B16" s="87" t="s">
        <v>171</v>
      </c>
      <c r="C16" s="87">
        <v>1</v>
      </c>
      <c r="D16" s="86" t="s">
        <v>68</v>
      </c>
      <c r="E16" s="86" t="s">
        <v>159</v>
      </c>
      <c r="F16" s="88">
        <v>0</v>
      </c>
      <c r="G16" s="86" t="s">
        <v>64</v>
      </c>
      <c r="H16" s="132"/>
      <c r="I16" s="88">
        <v>0</v>
      </c>
      <c r="J16" s="86" t="s">
        <v>65</v>
      </c>
      <c r="K16" s="86" t="s">
        <v>64</v>
      </c>
      <c r="L16" s="86" t="s">
        <v>64</v>
      </c>
      <c r="M16" s="86" t="s">
        <v>64</v>
      </c>
      <c r="N16" s="84">
        <f t="shared" ref="N16:O36" si="0">H16</f>
        <v>0</v>
      </c>
      <c r="O16" s="88">
        <f t="shared" si="0"/>
        <v>0</v>
      </c>
      <c r="P16" s="134" t="s">
        <v>76</v>
      </c>
      <c r="Q16" s="134">
        <v>100</v>
      </c>
      <c r="R16" s="134" t="s">
        <v>185</v>
      </c>
      <c r="S16" s="96" t="s">
        <v>162</v>
      </c>
      <c r="T16" s="84" t="s">
        <v>67</v>
      </c>
      <c r="U16" s="84"/>
      <c r="V16" s="136"/>
      <c r="W16" s="84" t="str">
        <f t="shared" ref="W16:W38" si="1">A16&amp;C16&amp;D16&amp;E16&amp;F16&amp;G16&amp;H16&amp;J16</f>
        <v>304000011LRBARRY-ASB0CONTINGENCY</v>
      </c>
      <c r="X16" s="84"/>
    </row>
    <row r="17" spans="1:24" s="137" customFormat="1" x14ac:dyDescent="0.25">
      <c r="A17" s="86" t="s">
        <v>125</v>
      </c>
      <c r="B17" s="87" t="s">
        <v>177</v>
      </c>
      <c r="C17" s="87">
        <v>1</v>
      </c>
      <c r="D17" s="86" t="s">
        <v>68</v>
      </c>
      <c r="E17" s="86" t="s">
        <v>159</v>
      </c>
      <c r="F17" s="92">
        <f>280125*(125/(125+125+225+350+700))</f>
        <v>22961.065573770491</v>
      </c>
      <c r="G17" s="86" t="s">
        <v>128</v>
      </c>
      <c r="H17" s="105">
        <f>I17/F17</f>
        <v>70</v>
      </c>
      <c r="I17" s="92">
        <f>19608750*(125/(125+125+225+350+700))</f>
        <v>1607274.5901639343</v>
      </c>
      <c r="J17" s="86" t="s">
        <v>127</v>
      </c>
      <c r="K17" s="86" t="s">
        <v>64</v>
      </c>
      <c r="L17" s="86" t="s">
        <v>64</v>
      </c>
      <c r="M17" s="86" t="s">
        <v>127</v>
      </c>
      <c r="N17" s="84">
        <f t="shared" si="0"/>
        <v>70</v>
      </c>
      <c r="O17" s="88">
        <f t="shared" si="0"/>
        <v>1607274.5901639343</v>
      </c>
      <c r="P17" s="134" t="s">
        <v>76</v>
      </c>
      <c r="Q17" s="134">
        <v>100</v>
      </c>
      <c r="R17" s="134" t="s">
        <v>185</v>
      </c>
      <c r="S17" s="96" t="s">
        <v>162</v>
      </c>
      <c r="T17" s="84" t="s">
        <v>67</v>
      </c>
      <c r="U17" s="84" t="s">
        <v>104</v>
      </c>
      <c r="V17" s="136"/>
      <c r="W17" s="84" t="str">
        <f t="shared" si="1"/>
        <v>3120000AA11LRBARRY-ASB22961.0655737705SF70SFTNSIDING (ASBESTOS)</v>
      </c>
      <c r="X17" s="84"/>
    </row>
    <row r="18" spans="1:24" s="137" customFormat="1" x14ac:dyDescent="0.25">
      <c r="A18" s="86" t="s">
        <v>125</v>
      </c>
      <c r="B18" s="87" t="s">
        <v>177</v>
      </c>
      <c r="C18" s="87">
        <v>1</v>
      </c>
      <c r="D18" s="86" t="s">
        <v>109</v>
      </c>
      <c r="E18" s="86" t="s">
        <v>159</v>
      </c>
      <c r="F18" s="88">
        <f>(22961.0656*4.1)/2000</f>
        <v>47.070184479999995</v>
      </c>
      <c r="G18" s="86" t="s">
        <v>126</v>
      </c>
      <c r="H18" s="89">
        <v>345.38903725057997</v>
      </c>
      <c r="I18" s="88">
        <f>F18*H18</f>
        <v>16257.52570075439</v>
      </c>
      <c r="J18" s="86" t="s">
        <v>127</v>
      </c>
      <c r="K18" s="86" t="s">
        <v>64</v>
      </c>
      <c r="L18" s="86" t="s">
        <v>64</v>
      </c>
      <c r="M18" s="86" t="s">
        <v>127</v>
      </c>
      <c r="N18" s="84">
        <f t="shared" si="0"/>
        <v>345.38903725057997</v>
      </c>
      <c r="O18" s="88">
        <f t="shared" si="0"/>
        <v>16257.52570075439</v>
      </c>
      <c r="P18" s="134" t="s">
        <v>76</v>
      </c>
      <c r="Q18" s="134">
        <v>100</v>
      </c>
      <c r="R18" s="134" t="s">
        <v>185</v>
      </c>
      <c r="S18" s="96" t="s">
        <v>167</v>
      </c>
      <c r="T18" s="84" t="s">
        <v>67</v>
      </c>
      <c r="U18" s="84" t="s">
        <v>104</v>
      </c>
      <c r="V18" s="136"/>
      <c r="W18" s="84" t="str">
        <f t="shared" si="1"/>
        <v>3120000AA11LDBARRY-ASB47.07018448TN345.38903725058SFTNSIDING (ASBESTOS)</v>
      </c>
      <c r="X18" s="84"/>
    </row>
    <row r="19" spans="1:24" s="137" customFormat="1" x14ac:dyDescent="0.25">
      <c r="A19" s="86" t="s">
        <v>63</v>
      </c>
      <c r="B19" s="87" t="s">
        <v>171</v>
      </c>
      <c r="C19" s="87">
        <v>2</v>
      </c>
      <c r="D19" s="86" t="s">
        <v>69</v>
      </c>
      <c r="E19" s="86" t="s">
        <v>159</v>
      </c>
      <c r="F19" s="88">
        <v>0</v>
      </c>
      <c r="G19" s="86" t="s">
        <v>64</v>
      </c>
      <c r="H19" s="132"/>
      <c r="I19" s="88">
        <v>0</v>
      </c>
      <c r="J19" s="86" t="s">
        <v>65</v>
      </c>
      <c r="K19" s="86" t="s">
        <v>64</v>
      </c>
      <c r="L19" s="86" t="s">
        <v>64</v>
      </c>
      <c r="M19" s="86" t="s">
        <v>64</v>
      </c>
      <c r="N19" s="84">
        <f t="shared" si="0"/>
        <v>0</v>
      </c>
      <c r="O19" s="88">
        <f t="shared" si="0"/>
        <v>0</v>
      </c>
      <c r="P19" s="134" t="s">
        <v>76</v>
      </c>
      <c r="Q19" s="134">
        <v>100</v>
      </c>
      <c r="R19" s="134" t="s">
        <v>185</v>
      </c>
      <c r="S19" s="96" t="s">
        <v>162</v>
      </c>
      <c r="T19" s="84" t="s">
        <v>67</v>
      </c>
      <c r="U19" s="84"/>
      <c r="V19" s="136"/>
      <c r="W19" s="84" t="str">
        <f t="shared" si="1"/>
        <v>304000022LRBARRY-ASB0CONTINGENCY</v>
      </c>
      <c r="X19" s="84"/>
    </row>
    <row r="20" spans="1:24" s="137" customFormat="1" x14ac:dyDescent="0.25">
      <c r="A20" s="86" t="s">
        <v>125</v>
      </c>
      <c r="B20" s="87" t="s">
        <v>177</v>
      </c>
      <c r="C20" s="87">
        <v>2</v>
      </c>
      <c r="D20" s="86" t="s">
        <v>69</v>
      </c>
      <c r="E20" s="86" t="s">
        <v>159</v>
      </c>
      <c r="F20" s="92">
        <f>280125*(125/(125+125+225+350+700))</f>
        <v>22961.065573770491</v>
      </c>
      <c r="G20" s="86" t="s">
        <v>128</v>
      </c>
      <c r="H20" s="105">
        <f>I20/F20</f>
        <v>70</v>
      </c>
      <c r="I20" s="92">
        <f>19608750*(125/(125+125+225+350+700))</f>
        <v>1607274.5901639343</v>
      </c>
      <c r="J20" s="86" t="s">
        <v>127</v>
      </c>
      <c r="K20" s="86" t="s">
        <v>64</v>
      </c>
      <c r="L20" s="86" t="s">
        <v>64</v>
      </c>
      <c r="M20" s="86" t="s">
        <v>127</v>
      </c>
      <c r="N20" s="84">
        <f t="shared" si="0"/>
        <v>70</v>
      </c>
      <c r="O20" s="88">
        <f t="shared" si="0"/>
        <v>1607274.5901639343</v>
      </c>
      <c r="P20" s="134" t="s">
        <v>76</v>
      </c>
      <c r="Q20" s="134">
        <v>100</v>
      </c>
      <c r="R20" s="134" t="s">
        <v>185</v>
      </c>
      <c r="S20" s="96" t="s">
        <v>162</v>
      </c>
      <c r="T20" s="84" t="s">
        <v>67</v>
      </c>
      <c r="U20" s="84" t="s">
        <v>104</v>
      </c>
      <c r="V20" s="136"/>
      <c r="W20" s="84" t="str">
        <f t="shared" si="1"/>
        <v>3120000AA22LRBARRY-ASB22961.0655737705SF70SFTNSIDING (ASBESTOS)</v>
      </c>
      <c r="X20" s="84"/>
    </row>
    <row r="21" spans="1:24" s="137" customFormat="1" x14ac:dyDescent="0.25">
      <c r="A21" s="86" t="s">
        <v>125</v>
      </c>
      <c r="B21" s="87" t="s">
        <v>177</v>
      </c>
      <c r="C21" s="87">
        <v>2</v>
      </c>
      <c r="D21" s="86" t="s">
        <v>111</v>
      </c>
      <c r="E21" s="86" t="s">
        <v>159</v>
      </c>
      <c r="F21" s="88">
        <f>(22961.0656*4.1)/2000</f>
        <v>47.070184479999995</v>
      </c>
      <c r="G21" s="86" t="s">
        <v>126</v>
      </c>
      <c r="H21" s="89">
        <v>345.38903725057997</v>
      </c>
      <c r="I21" s="88">
        <f>F21*H21</f>
        <v>16257.52570075439</v>
      </c>
      <c r="J21" s="86" t="s">
        <v>127</v>
      </c>
      <c r="K21" s="86" t="s">
        <v>64</v>
      </c>
      <c r="L21" s="86" t="s">
        <v>64</v>
      </c>
      <c r="M21" s="86" t="s">
        <v>127</v>
      </c>
      <c r="N21" s="84">
        <f t="shared" si="0"/>
        <v>345.38903725057997</v>
      </c>
      <c r="O21" s="88">
        <f t="shared" si="0"/>
        <v>16257.52570075439</v>
      </c>
      <c r="P21" s="134" t="s">
        <v>76</v>
      </c>
      <c r="Q21" s="134">
        <v>100</v>
      </c>
      <c r="R21" s="134" t="s">
        <v>185</v>
      </c>
      <c r="S21" s="96" t="s">
        <v>167</v>
      </c>
      <c r="T21" s="84" t="s">
        <v>67</v>
      </c>
      <c r="U21" s="84" t="s">
        <v>104</v>
      </c>
      <c r="V21" s="136"/>
      <c r="W21" s="84" t="str">
        <f t="shared" si="1"/>
        <v>3120000AA22LDBARRY-ASB47.07018448TN345.38903725058SFTNSIDING (ASBESTOS)</v>
      </c>
      <c r="X21" s="84"/>
    </row>
    <row r="22" spans="1:24" s="137" customFormat="1" x14ac:dyDescent="0.25">
      <c r="A22" s="86" t="s">
        <v>63</v>
      </c>
      <c r="B22" s="87" t="s">
        <v>171</v>
      </c>
      <c r="C22" s="87">
        <v>3</v>
      </c>
      <c r="D22" s="109" t="s">
        <v>70</v>
      </c>
      <c r="E22" s="86" t="s">
        <v>159</v>
      </c>
      <c r="F22" s="88">
        <v>0</v>
      </c>
      <c r="G22" s="86" t="s">
        <v>64</v>
      </c>
      <c r="H22" s="132"/>
      <c r="I22" s="88">
        <v>0</v>
      </c>
      <c r="J22" s="86" t="s">
        <v>65</v>
      </c>
      <c r="K22" s="86" t="s">
        <v>64</v>
      </c>
      <c r="L22" s="86" t="s">
        <v>64</v>
      </c>
      <c r="M22" s="86" t="s">
        <v>64</v>
      </c>
      <c r="N22" s="84">
        <f t="shared" si="0"/>
        <v>0</v>
      </c>
      <c r="O22" s="88">
        <f t="shared" si="0"/>
        <v>0</v>
      </c>
      <c r="P22" s="134" t="s">
        <v>76</v>
      </c>
      <c r="Q22" s="134">
        <v>100</v>
      </c>
      <c r="R22" s="134" t="s">
        <v>185</v>
      </c>
      <c r="S22" s="96" t="s">
        <v>162</v>
      </c>
      <c r="T22" s="84" t="s">
        <v>67</v>
      </c>
      <c r="U22" s="84"/>
      <c r="V22" s="136"/>
      <c r="W22" s="84" t="str">
        <f t="shared" si="1"/>
        <v>304000033LRBARRY-ASB0CONTINGENCY</v>
      </c>
      <c r="X22" s="84"/>
    </row>
    <row r="23" spans="1:24" s="137" customFormat="1" x14ac:dyDescent="0.25">
      <c r="A23" s="86" t="s">
        <v>125</v>
      </c>
      <c r="B23" s="87" t="s">
        <v>177</v>
      </c>
      <c r="C23" s="87">
        <v>3</v>
      </c>
      <c r="D23" s="86" t="s">
        <v>70</v>
      </c>
      <c r="E23" s="86" t="s">
        <v>159</v>
      </c>
      <c r="F23" s="92">
        <f>280125*(225/(125+125+225+350+700))</f>
        <v>41329.918032786882</v>
      </c>
      <c r="G23" s="86" t="s">
        <v>128</v>
      </c>
      <c r="H23" s="105">
        <f>I23/F23</f>
        <v>70</v>
      </c>
      <c r="I23" s="92">
        <f>19608750*(225/(125+125+225+350+700))</f>
        <v>2893094.2622950817</v>
      </c>
      <c r="J23" s="86" t="s">
        <v>127</v>
      </c>
      <c r="K23" s="86" t="s">
        <v>64</v>
      </c>
      <c r="L23" s="86" t="s">
        <v>64</v>
      </c>
      <c r="M23" s="86" t="s">
        <v>127</v>
      </c>
      <c r="N23" s="84">
        <f t="shared" si="0"/>
        <v>70</v>
      </c>
      <c r="O23" s="88">
        <f t="shared" si="0"/>
        <v>2893094.2622950817</v>
      </c>
      <c r="P23" s="134" t="s">
        <v>76</v>
      </c>
      <c r="Q23" s="134">
        <v>100</v>
      </c>
      <c r="R23" s="134" t="s">
        <v>185</v>
      </c>
      <c r="S23" s="96" t="s">
        <v>162</v>
      </c>
      <c r="T23" s="84" t="s">
        <v>67</v>
      </c>
      <c r="U23" s="84" t="s">
        <v>104</v>
      </c>
      <c r="V23" s="136"/>
      <c r="W23" s="84" t="str">
        <f t="shared" si="1"/>
        <v>3120000AA33LRBARRY-ASB41329.9180327869SF70SFTNSIDING (ASBESTOS)</v>
      </c>
      <c r="X23" s="84"/>
    </row>
    <row r="24" spans="1:24" s="137" customFormat="1" x14ac:dyDescent="0.25">
      <c r="A24" s="86" t="s">
        <v>125</v>
      </c>
      <c r="B24" s="87" t="s">
        <v>177</v>
      </c>
      <c r="C24" s="87">
        <v>3</v>
      </c>
      <c r="D24" s="86" t="s">
        <v>150</v>
      </c>
      <c r="E24" s="86" t="s">
        <v>159</v>
      </c>
      <c r="F24" s="88">
        <f>(41329.918*4.1)/2000</f>
        <v>84.726331899999991</v>
      </c>
      <c r="G24" s="86" t="s">
        <v>126</v>
      </c>
      <c r="H24" s="89">
        <v>345.38903725057997</v>
      </c>
      <c r="I24" s="88">
        <f>F24*H24</f>
        <v>29263.546204714101</v>
      </c>
      <c r="J24" s="86" t="s">
        <v>127</v>
      </c>
      <c r="K24" s="86" t="s">
        <v>64</v>
      </c>
      <c r="L24" s="86" t="s">
        <v>64</v>
      </c>
      <c r="M24" s="86" t="s">
        <v>127</v>
      </c>
      <c r="N24" s="84">
        <f t="shared" si="0"/>
        <v>345.38903725057997</v>
      </c>
      <c r="O24" s="88">
        <f t="shared" si="0"/>
        <v>29263.546204714101</v>
      </c>
      <c r="P24" s="134" t="s">
        <v>76</v>
      </c>
      <c r="Q24" s="134">
        <v>100</v>
      </c>
      <c r="R24" s="134" t="s">
        <v>185</v>
      </c>
      <c r="S24" s="96" t="s">
        <v>167</v>
      </c>
      <c r="T24" s="84" t="s">
        <v>67</v>
      </c>
      <c r="U24" s="84" t="s">
        <v>104</v>
      </c>
      <c r="V24" s="136"/>
      <c r="W24" s="84" t="str">
        <f t="shared" si="1"/>
        <v>3120000AA33LDBARRY-ASB84.7263319TN345.38903725058SFTNSIDING (ASBESTOS)</v>
      </c>
      <c r="X24" s="84"/>
    </row>
    <row r="25" spans="1:24" s="137" customFormat="1" x14ac:dyDescent="0.25">
      <c r="A25" s="86" t="s">
        <v>63</v>
      </c>
      <c r="B25" s="87" t="s">
        <v>171</v>
      </c>
      <c r="C25" s="87">
        <v>4</v>
      </c>
      <c r="D25" s="109" t="s">
        <v>71</v>
      </c>
      <c r="E25" s="86" t="s">
        <v>159</v>
      </c>
      <c r="F25" s="88">
        <v>0</v>
      </c>
      <c r="G25" s="86" t="s">
        <v>64</v>
      </c>
      <c r="H25" s="132"/>
      <c r="I25" s="88">
        <v>0</v>
      </c>
      <c r="J25" s="86" t="s">
        <v>65</v>
      </c>
      <c r="K25" s="86" t="s">
        <v>64</v>
      </c>
      <c r="L25" s="86" t="s">
        <v>64</v>
      </c>
      <c r="M25" s="86" t="s">
        <v>64</v>
      </c>
      <c r="N25" s="84">
        <f t="shared" si="0"/>
        <v>0</v>
      </c>
      <c r="O25" s="88">
        <f t="shared" si="0"/>
        <v>0</v>
      </c>
      <c r="P25" s="134" t="s">
        <v>76</v>
      </c>
      <c r="Q25" s="134">
        <v>100</v>
      </c>
      <c r="R25" s="134" t="s">
        <v>185</v>
      </c>
      <c r="S25" s="96" t="s">
        <v>162</v>
      </c>
      <c r="T25" s="84" t="s">
        <v>67</v>
      </c>
      <c r="U25" s="84"/>
      <c r="V25" s="136"/>
      <c r="W25" s="84" t="str">
        <f t="shared" si="1"/>
        <v>304000044LRBARRY-ASB0CONTINGENCY</v>
      </c>
      <c r="X25" s="84"/>
    </row>
    <row r="26" spans="1:24" s="137" customFormat="1" x14ac:dyDescent="0.25">
      <c r="A26" s="86" t="s">
        <v>125</v>
      </c>
      <c r="B26" s="87" t="s">
        <v>177</v>
      </c>
      <c r="C26" s="87">
        <v>4</v>
      </c>
      <c r="D26" s="86" t="s">
        <v>71</v>
      </c>
      <c r="E26" s="86" t="s">
        <v>159</v>
      </c>
      <c r="F26" s="92">
        <f>280125*(350/(125+125+225+350+700))</f>
        <v>64290.983606557376</v>
      </c>
      <c r="G26" s="86" t="s">
        <v>128</v>
      </c>
      <c r="H26" s="105">
        <f>I26/F26</f>
        <v>70</v>
      </c>
      <c r="I26" s="92">
        <f>19608750*(350/(125+125+225+350+700))</f>
        <v>4500368.8524590163</v>
      </c>
      <c r="J26" s="86" t="s">
        <v>127</v>
      </c>
      <c r="K26" s="86" t="s">
        <v>64</v>
      </c>
      <c r="L26" s="86" t="s">
        <v>64</v>
      </c>
      <c r="M26" s="86" t="s">
        <v>127</v>
      </c>
      <c r="N26" s="84">
        <f t="shared" si="0"/>
        <v>70</v>
      </c>
      <c r="O26" s="88">
        <f t="shared" si="0"/>
        <v>4500368.8524590163</v>
      </c>
      <c r="P26" s="134" t="s">
        <v>76</v>
      </c>
      <c r="Q26" s="134">
        <v>100</v>
      </c>
      <c r="R26" s="134" t="s">
        <v>185</v>
      </c>
      <c r="S26" s="96" t="s">
        <v>162</v>
      </c>
      <c r="T26" s="84" t="s">
        <v>67</v>
      </c>
      <c r="U26" s="84" t="s">
        <v>104</v>
      </c>
      <c r="V26" s="136"/>
      <c r="W26" s="84" t="str">
        <f t="shared" si="1"/>
        <v>3120000AA44LRBARRY-ASB64290.9836065574SF70SFTNSIDING (ASBESTOS)</v>
      </c>
      <c r="X26" s="84"/>
    </row>
    <row r="27" spans="1:24" s="137" customFormat="1" x14ac:dyDescent="0.25">
      <c r="A27" s="86" t="s">
        <v>125</v>
      </c>
      <c r="B27" s="87" t="s">
        <v>177</v>
      </c>
      <c r="C27" s="87">
        <v>4</v>
      </c>
      <c r="D27" s="86" t="s">
        <v>151</v>
      </c>
      <c r="E27" s="86" t="s">
        <v>159</v>
      </c>
      <c r="F27" s="88">
        <f>(64290.9836*4.1)/2000</f>
        <v>131.79651637999999</v>
      </c>
      <c r="G27" s="86" t="s">
        <v>126</v>
      </c>
      <c r="H27" s="89">
        <v>345.38903725057997</v>
      </c>
      <c r="I27" s="88">
        <f>F27*H27</f>
        <v>45521.071905468489</v>
      </c>
      <c r="J27" s="86" t="s">
        <v>127</v>
      </c>
      <c r="K27" s="86" t="s">
        <v>64</v>
      </c>
      <c r="L27" s="86" t="s">
        <v>64</v>
      </c>
      <c r="M27" s="86" t="s">
        <v>127</v>
      </c>
      <c r="N27" s="84">
        <f t="shared" si="0"/>
        <v>345.38903725057997</v>
      </c>
      <c r="O27" s="88">
        <f t="shared" si="0"/>
        <v>45521.071905468489</v>
      </c>
      <c r="P27" s="134" t="s">
        <v>76</v>
      </c>
      <c r="Q27" s="134">
        <v>100</v>
      </c>
      <c r="R27" s="134" t="s">
        <v>185</v>
      </c>
      <c r="S27" s="96" t="s">
        <v>167</v>
      </c>
      <c r="T27" s="84" t="s">
        <v>67</v>
      </c>
      <c r="U27" s="84" t="s">
        <v>104</v>
      </c>
      <c r="V27" s="136"/>
      <c r="W27" s="84" t="str">
        <f t="shared" si="1"/>
        <v>3120000AA44LDBARRY-ASB131.79651638TN345.38903725058SFTNSIDING (ASBESTOS)</v>
      </c>
      <c r="X27" s="84"/>
    </row>
    <row r="28" spans="1:24" s="137" customFormat="1" x14ac:dyDescent="0.25">
      <c r="A28" s="86" t="s">
        <v>63</v>
      </c>
      <c r="B28" s="87" t="s">
        <v>171</v>
      </c>
      <c r="C28" s="87">
        <v>5</v>
      </c>
      <c r="D28" s="109" t="s">
        <v>72</v>
      </c>
      <c r="E28" s="86" t="s">
        <v>159</v>
      </c>
      <c r="F28" s="88">
        <v>0</v>
      </c>
      <c r="G28" s="86" t="s">
        <v>64</v>
      </c>
      <c r="H28" s="132"/>
      <c r="I28" s="88">
        <v>0</v>
      </c>
      <c r="J28" s="86" t="s">
        <v>65</v>
      </c>
      <c r="K28" s="86" t="s">
        <v>64</v>
      </c>
      <c r="L28" s="86" t="s">
        <v>64</v>
      </c>
      <c r="M28" s="86" t="s">
        <v>64</v>
      </c>
      <c r="N28" s="84">
        <f t="shared" si="0"/>
        <v>0</v>
      </c>
      <c r="O28" s="88">
        <f t="shared" si="0"/>
        <v>0</v>
      </c>
      <c r="P28" s="134" t="s">
        <v>76</v>
      </c>
      <c r="Q28" s="134">
        <v>100</v>
      </c>
      <c r="R28" s="134" t="s">
        <v>185</v>
      </c>
      <c r="S28" s="96" t="s">
        <v>162</v>
      </c>
      <c r="T28" s="84" t="s">
        <v>67</v>
      </c>
      <c r="U28" s="84"/>
      <c r="V28" s="136"/>
      <c r="W28" s="84" t="str">
        <f t="shared" si="1"/>
        <v>304000055LRBARRY-ASB0CONTINGENCY</v>
      </c>
      <c r="X28" s="84"/>
    </row>
    <row r="29" spans="1:24" s="137" customFormat="1" x14ac:dyDescent="0.25">
      <c r="A29" s="86" t="s">
        <v>125</v>
      </c>
      <c r="B29" s="87" t="s">
        <v>177</v>
      </c>
      <c r="C29" s="87">
        <v>5</v>
      </c>
      <c r="D29" s="86" t="s">
        <v>72</v>
      </c>
      <c r="E29" s="86" t="s">
        <v>159</v>
      </c>
      <c r="F29" s="92">
        <f>280125*(700/(125+125+225+350+700))</f>
        <v>128581.96721311475</v>
      </c>
      <c r="G29" s="86" t="s">
        <v>128</v>
      </c>
      <c r="H29" s="105">
        <f>I29/F29</f>
        <v>70</v>
      </c>
      <c r="I29" s="92">
        <f>19608750*(700/(125+125+225+350+700))</f>
        <v>9000737.7049180325</v>
      </c>
      <c r="J29" s="86" t="s">
        <v>127</v>
      </c>
      <c r="K29" s="86" t="s">
        <v>64</v>
      </c>
      <c r="L29" s="86" t="s">
        <v>64</v>
      </c>
      <c r="M29" s="86" t="s">
        <v>127</v>
      </c>
      <c r="N29" s="84">
        <f t="shared" si="0"/>
        <v>70</v>
      </c>
      <c r="O29" s="88">
        <f t="shared" si="0"/>
        <v>9000737.7049180325</v>
      </c>
      <c r="P29" s="134" t="s">
        <v>76</v>
      </c>
      <c r="Q29" s="134">
        <v>100</v>
      </c>
      <c r="R29" s="134" t="s">
        <v>185</v>
      </c>
      <c r="S29" s="96" t="s">
        <v>162</v>
      </c>
      <c r="T29" s="84" t="s">
        <v>67</v>
      </c>
      <c r="U29" s="84" t="s">
        <v>104</v>
      </c>
      <c r="V29" s="136"/>
      <c r="W29" s="84" t="str">
        <f t="shared" si="1"/>
        <v>3120000AA55LRBARRY-ASB128581.967213115SF70SFTNSIDING (ASBESTOS)</v>
      </c>
      <c r="X29" s="84"/>
    </row>
    <row r="30" spans="1:24" s="137" customFormat="1" x14ac:dyDescent="0.25">
      <c r="A30" s="86" t="s">
        <v>125</v>
      </c>
      <c r="B30" s="87" t="s">
        <v>177</v>
      </c>
      <c r="C30" s="87">
        <v>5</v>
      </c>
      <c r="D30" s="86" t="s">
        <v>152</v>
      </c>
      <c r="E30" s="86" t="s">
        <v>159</v>
      </c>
      <c r="F30" s="88">
        <f>(128581.967*4.1)/2000</f>
        <v>263.59303234999999</v>
      </c>
      <c r="G30" s="86" t="s">
        <v>126</v>
      </c>
      <c r="H30" s="89">
        <v>345.38903725057997</v>
      </c>
      <c r="I30" s="88">
        <f>F30*H30</f>
        <v>91042.143669327474</v>
      </c>
      <c r="J30" s="86" t="s">
        <v>127</v>
      </c>
      <c r="K30" s="86" t="s">
        <v>64</v>
      </c>
      <c r="L30" s="86" t="s">
        <v>64</v>
      </c>
      <c r="M30" s="86" t="s">
        <v>127</v>
      </c>
      <c r="N30" s="84">
        <f t="shared" si="0"/>
        <v>345.38903725057997</v>
      </c>
      <c r="O30" s="88">
        <f t="shared" si="0"/>
        <v>91042.143669327474</v>
      </c>
      <c r="P30" s="134" t="s">
        <v>76</v>
      </c>
      <c r="Q30" s="134">
        <v>100</v>
      </c>
      <c r="R30" s="134" t="s">
        <v>185</v>
      </c>
      <c r="S30" s="96" t="s">
        <v>167</v>
      </c>
      <c r="T30" s="84" t="s">
        <v>67</v>
      </c>
      <c r="U30" s="84" t="s">
        <v>104</v>
      </c>
      <c r="V30" s="136"/>
      <c r="W30" s="84" t="str">
        <f t="shared" si="1"/>
        <v>3120000AA55LDBARRY-ASB263.59303235TN345.38903725058SFTNSIDING (ASBESTOS)</v>
      </c>
      <c r="X30" s="84"/>
    </row>
    <row r="31" spans="1:24" s="137" customFormat="1" x14ac:dyDescent="0.25">
      <c r="A31" s="86" t="s">
        <v>101</v>
      </c>
      <c r="B31" s="87" t="s">
        <v>168</v>
      </c>
      <c r="C31" s="87" t="s">
        <v>73</v>
      </c>
      <c r="D31" s="86" t="s">
        <v>74</v>
      </c>
      <c r="E31" s="86" t="s">
        <v>159</v>
      </c>
      <c r="F31" s="88">
        <v>1</v>
      </c>
      <c r="G31" s="86" t="s">
        <v>14</v>
      </c>
      <c r="H31" s="114">
        <f>SUMIFS($I$3:$I$113,$E$3:$E$113,$E31,$U$3:$U$113,"MARKUP",$S$3:$S$113,"REMOVAL")*0.01</f>
        <v>196087.5</v>
      </c>
      <c r="I31" s="90">
        <f>F31*H31</f>
        <v>196087.5</v>
      </c>
      <c r="J31" s="108" t="s">
        <v>102</v>
      </c>
      <c r="K31" s="86" t="s">
        <v>64</v>
      </c>
      <c r="L31" s="86" t="s">
        <v>64</v>
      </c>
      <c r="M31" s="86" t="s">
        <v>102</v>
      </c>
      <c r="N31" s="84">
        <f t="shared" si="0"/>
        <v>196087.5</v>
      </c>
      <c r="O31" s="88">
        <f t="shared" si="0"/>
        <v>196087.5</v>
      </c>
      <c r="P31" s="134" t="s">
        <v>76</v>
      </c>
      <c r="Q31" s="134">
        <v>100</v>
      </c>
      <c r="R31" s="134" t="s">
        <v>185</v>
      </c>
      <c r="S31" s="96" t="s">
        <v>162</v>
      </c>
      <c r="T31" s="84" t="s">
        <v>67</v>
      </c>
      <c r="U31" s="84"/>
      <c r="V31" s="136"/>
      <c r="W31" s="84" t="str">
        <f t="shared" si="1"/>
        <v>3090481CCLRBARRY-ASB1%196087.5ADMINISTRATIVE &amp; GENERAL OVERHEAD</v>
      </c>
      <c r="X31" s="84"/>
    </row>
    <row r="32" spans="1:24" s="137" customFormat="1" x14ac:dyDescent="0.25">
      <c r="A32" s="86" t="s">
        <v>63</v>
      </c>
      <c r="B32" s="87" t="s">
        <v>171</v>
      </c>
      <c r="C32" s="113" t="s">
        <v>73</v>
      </c>
      <c r="D32" s="109" t="s">
        <v>74</v>
      </c>
      <c r="E32" s="86" t="s">
        <v>159</v>
      </c>
      <c r="F32" s="88">
        <v>0</v>
      </c>
      <c r="G32" s="86" t="s">
        <v>64</v>
      </c>
      <c r="H32" s="132"/>
      <c r="I32" s="88">
        <v>0</v>
      </c>
      <c r="J32" s="86" t="s">
        <v>65</v>
      </c>
      <c r="K32" s="86" t="s">
        <v>64</v>
      </c>
      <c r="L32" s="86" t="s">
        <v>64</v>
      </c>
      <c r="M32" s="86" t="s">
        <v>64</v>
      </c>
      <c r="N32" s="84">
        <f t="shared" si="0"/>
        <v>0</v>
      </c>
      <c r="O32" s="88">
        <f t="shared" si="0"/>
        <v>0</v>
      </c>
      <c r="P32" s="134" t="s">
        <v>76</v>
      </c>
      <c r="Q32" s="134">
        <v>100</v>
      </c>
      <c r="R32" s="134" t="s">
        <v>185</v>
      </c>
      <c r="S32" s="96" t="s">
        <v>162</v>
      </c>
      <c r="T32" s="84" t="s">
        <v>67</v>
      </c>
      <c r="U32" s="84"/>
      <c r="V32" s="136"/>
      <c r="W32" s="84" t="str">
        <f t="shared" si="1"/>
        <v>3040000CCLRBARRY-ASB0CONTINGENCY</v>
      </c>
      <c r="X32" s="84"/>
    </row>
    <row r="33" spans="1:24" s="137" customFormat="1" x14ac:dyDescent="0.25">
      <c r="A33" s="86" t="s">
        <v>96</v>
      </c>
      <c r="B33" s="87" t="s">
        <v>170</v>
      </c>
      <c r="C33" s="87" t="s">
        <v>73</v>
      </c>
      <c r="D33" s="86" t="s">
        <v>74</v>
      </c>
      <c r="E33" s="86" t="s">
        <v>159</v>
      </c>
      <c r="F33" s="88">
        <v>1</v>
      </c>
      <c r="G33" s="86" t="s">
        <v>84</v>
      </c>
      <c r="H33" s="104">
        <f>SUMIFS($I$3:$I$113,$E$3:$E$113,$E33,$U$3:$U$113,"MARKUP",$S$3:$S$113,"REMOVAL")*0.0008</f>
        <v>15687</v>
      </c>
      <c r="I33" s="90">
        <f>F33*H33</f>
        <v>15687</v>
      </c>
      <c r="J33" s="108" t="s">
        <v>97</v>
      </c>
      <c r="K33" s="86" t="s">
        <v>64</v>
      </c>
      <c r="L33" s="86" t="s">
        <v>64</v>
      </c>
      <c r="M33" s="86" t="s">
        <v>97</v>
      </c>
      <c r="N33" s="84">
        <f t="shared" si="0"/>
        <v>15687</v>
      </c>
      <c r="O33" s="88">
        <f t="shared" si="0"/>
        <v>15687</v>
      </c>
      <c r="P33" s="134" t="s">
        <v>76</v>
      </c>
      <c r="Q33" s="134">
        <v>100</v>
      </c>
      <c r="R33" s="134" t="s">
        <v>185</v>
      </c>
      <c r="S33" s="96" t="s">
        <v>162</v>
      </c>
      <c r="T33" s="84" t="s">
        <v>67</v>
      </c>
      <c r="U33" s="84"/>
      <c r="V33" s="136"/>
      <c r="W33" s="84" t="str">
        <f t="shared" si="1"/>
        <v>3080268CCLRBARRY-ASB1LT15687PERMITS</v>
      </c>
      <c r="X33" s="84"/>
    </row>
    <row r="34" spans="1:24" s="137" customFormat="1" x14ac:dyDescent="0.25">
      <c r="A34" s="111">
        <v>3080241</v>
      </c>
      <c r="B34" s="87" t="s">
        <v>170</v>
      </c>
      <c r="C34" s="87" t="s">
        <v>73</v>
      </c>
      <c r="D34" s="86" t="s">
        <v>74</v>
      </c>
      <c r="E34" s="86" t="s">
        <v>159</v>
      </c>
      <c r="F34" s="88">
        <v>1</v>
      </c>
      <c r="G34" s="86" t="s">
        <v>14</v>
      </c>
      <c r="H34" s="104">
        <f>SUMIFS($I$3:$I$113,$E$3:$E$113,$E34,$U$3:$U$113,"MARKUP",$S$3:$S$113,"REMOVAL")*0.01</f>
        <v>196087.5</v>
      </c>
      <c r="I34" s="90">
        <f>F34*H34</f>
        <v>196087.5</v>
      </c>
      <c r="J34" s="110" t="s">
        <v>92</v>
      </c>
      <c r="K34" s="86" t="s">
        <v>64</v>
      </c>
      <c r="L34" s="86" t="s">
        <v>64</v>
      </c>
      <c r="M34" s="86" t="s">
        <v>95</v>
      </c>
      <c r="N34" s="84">
        <f t="shared" si="0"/>
        <v>196087.5</v>
      </c>
      <c r="O34" s="88">
        <f t="shared" si="0"/>
        <v>196087.5</v>
      </c>
      <c r="P34" s="134" t="s">
        <v>76</v>
      </c>
      <c r="Q34" s="134">
        <v>100</v>
      </c>
      <c r="R34" s="134" t="s">
        <v>185</v>
      </c>
      <c r="S34" s="96" t="s">
        <v>162</v>
      </c>
      <c r="T34" s="84" t="s">
        <v>67</v>
      </c>
      <c r="U34" s="84"/>
      <c r="V34" s="136"/>
      <c r="W34" s="84" t="str">
        <f t="shared" si="1"/>
        <v>3080241CCLRBARRY-ASB1%196087.5SCS ENGINEERING</v>
      </c>
      <c r="X34" s="84"/>
    </row>
    <row r="35" spans="1:24" s="137" customFormat="1" x14ac:dyDescent="0.25">
      <c r="A35" s="86" t="s">
        <v>81</v>
      </c>
      <c r="B35" s="87" t="s">
        <v>172</v>
      </c>
      <c r="C35" s="87" t="s">
        <v>73</v>
      </c>
      <c r="D35" s="86" t="s">
        <v>74</v>
      </c>
      <c r="E35" s="86" t="s">
        <v>159</v>
      </c>
      <c r="F35" s="106">
        <v>1</v>
      </c>
      <c r="G35" s="86" t="s">
        <v>14</v>
      </c>
      <c r="H35" s="114">
        <f>SUMIFS($I$3:$I$113,$E$3:$E$113,$E35,$U$3:$U$113,"MARKUP",$S$3:$S$113,"REMOVAL")*0.01</f>
        <v>196087.5</v>
      </c>
      <c r="I35" s="90">
        <f>F35*H35</f>
        <v>196087.5</v>
      </c>
      <c r="J35" s="108" t="s">
        <v>82</v>
      </c>
      <c r="K35" s="86" t="s">
        <v>64</v>
      </c>
      <c r="L35" s="86" t="s">
        <v>64</v>
      </c>
      <c r="M35" s="86" t="s">
        <v>82</v>
      </c>
      <c r="N35" s="84">
        <f t="shared" si="0"/>
        <v>196087.5</v>
      </c>
      <c r="O35" s="88">
        <f t="shared" si="0"/>
        <v>196087.5</v>
      </c>
      <c r="P35" s="134" t="s">
        <v>76</v>
      </c>
      <c r="Q35" s="134">
        <v>100</v>
      </c>
      <c r="R35" s="134" t="s">
        <v>185</v>
      </c>
      <c r="S35" s="96" t="s">
        <v>162</v>
      </c>
      <c r="T35" s="84" t="s">
        <v>67</v>
      </c>
      <c r="U35" s="84"/>
      <c r="V35" s="136"/>
      <c r="W35" s="84" t="str">
        <f t="shared" si="1"/>
        <v>3070201CCLRBARRY-ASB1%196087.5TEMPORARY CONSTRUCTION SERVICES</v>
      </c>
      <c r="X35" s="84"/>
    </row>
    <row r="36" spans="1:24" s="137" customFormat="1" x14ac:dyDescent="0.25">
      <c r="A36" s="86" t="s">
        <v>99</v>
      </c>
      <c r="B36" s="87" t="s">
        <v>170</v>
      </c>
      <c r="C36" s="87" t="s">
        <v>73</v>
      </c>
      <c r="D36" s="86" t="s">
        <v>74</v>
      </c>
      <c r="E36" s="86" t="s">
        <v>159</v>
      </c>
      <c r="F36" s="88">
        <v>0.6</v>
      </c>
      <c r="G36" s="86" t="s">
        <v>14</v>
      </c>
      <c r="H36" s="114">
        <f>SUMIFS($I$3:$I$113,$E$3:$E$113,$E36,$U$3:$U$113,"MARKUP",$S$3:$S$113,"REMOVAL")*0.01</f>
        <v>196087.5</v>
      </c>
      <c r="I36" s="90">
        <f>F36*H36</f>
        <v>117652.5</v>
      </c>
      <c r="J36" s="108" t="s">
        <v>100</v>
      </c>
      <c r="K36" s="86" t="s">
        <v>64</v>
      </c>
      <c r="L36" s="86" t="s">
        <v>64</v>
      </c>
      <c r="M36" s="86" t="s">
        <v>100</v>
      </c>
      <c r="N36" s="84">
        <f t="shared" si="0"/>
        <v>196087.5</v>
      </c>
      <c r="O36" s="88">
        <f t="shared" si="0"/>
        <v>117652.5</v>
      </c>
      <c r="P36" s="134" t="s">
        <v>76</v>
      </c>
      <c r="Q36" s="134">
        <v>100</v>
      </c>
      <c r="R36" s="134" t="s">
        <v>185</v>
      </c>
      <c r="S36" s="96" t="s">
        <v>162</v>
      </c>
      <c r="T36" s="84" t="s">
        <v>67</v>
      </c>
      <c r="U36" s="84"/>
      <c r="V36" s="136"/>
      <c r="W36" s="84" t="str">
        <f t="shared" si="1"/>
        <v>3080361CCLRBARRY-ASB0.6%196087.5WRAP-UP AND ALL-RISK INSURANCE</v>
      </c>
      <c r="X36" s="84"/>
    </row>
    <row r="37" spans="1:24" s="137" customFormat="1" x14ac:dyDescent="0.25">
      <c r="A37" s="86">
        <v>3110390</v>
      </c>
      <c r="B37" s="87" t="s">
        <v>169</v>
      </c>
      <c r="C37" s="87" t="s">
        <v>73</v>
      </c>
      <c r="D37" s="86" t="s">
        <v>74</v>
      </c>
      <c r="E37" s="86" t="s">
        <v>160</v>
      </c>
      <c r="F37" s="92">
        <v>596</v>
      </c>
      <c r="G37" s="86" t="s">
        <v>106</v>
      </c>
      <c r="H37" s="107">
        <f>I37/F37</f>
        <v>32100.518489727314</v>
      </c>
      <c r="I37" s="92">
        <v>19131909.019877478</v>
      </c>
      <c r="J37" s="86" t="s">
        <v>107</v>
      </c>
      <c r="K37" s="86" t="s">
        <v>64</v>
      </c>
      <c r="L37" s="86" t="s">
        <v>64</v>
      </c>
      <c r="M37" s="86" t="s">
        <v>107</v>
      </c>
      <c r="N37" s="84">
        <f>H37</f>
        <v>32100.518489727314</v>
      </c>
      <c r="O37" s="88">
        <v>19131909.019877478</v>
      </c>
      <c r="P37" s="134" t="s">
        <v>77</v>
      </c>
      <c r="Q37" s="134">
        <v>100</v>
      </c>
      <c r="R37" s="134" t="s">
        <v>185</v>
      </c>
      <c r="S37" s="96" t="s">
        <v>162</v>
      </c>
      <c r="T37" s="84" t="s">
        <v>67</v>
      </c>
      <c r="U37" s="84"/>
      <c r="V37" s="136"/>
      <c r="W37" s="84" t="str">
        <f t="shared" si="1"/>
        <v>3110390CCLRBARRY-ASH596AC32100.5184897273Ash Disposal Pond</v>
      </c>
      <c r="X37" s="84"/>
    </row>
    <row r="38" spans="1:24" s="137" customFormat="1" x14ac:dyDescent="0.25">
      <c r="A38" s="86" t="s">
        <v>63</v>
      </c>
      <c r="B38" s="87" t="s">
        <v>171</v>
      </c>
      <c r="C38" s="87" t="s">
        <v>73</v>
      </c>
      <c r="D38" s="86" t="s">
        <v>74</v>
      </c>
      <c r="E38" s="86" t="s">
        <v>160</v>
      </c>
      <c r="F38" s="88">
        <v>0</v>
      </c>
      <c r="G38" s="86" t="s">
        <v>64</v>
      </c>
      <c r="H38" s="93"/>
      <c r="I38" s="88">
        <v>0</v>
      </c>
      <c r="J38" s="86" t="s">
        <v>65</v>
      </c>
      <c r="K38" s="86" t="s">
        <v>64</v>
      </c>
      <c r="L38" s="86" t="s">
        <v>64</v>
      </c>
      <c r="M38" s="86" t="s">
        <v>64</v>
      </c>
      <c r="N38" s="84">
        <f>H38</f>
        <v>0</v>
      </c>
      <c r="O38" s="88">
        <f>I38</f>
        <v>0</v>
      </c>
      <c r="P38" s="134" t="s">
        <v>77</v>
      </c>
      <c r="Q38" s="134">
        <v>100</v>
      </c>
      <c r="R38" s="134" t="s">
        <v>185</v>
      </c>
      <c r="S38" s="96" t="s">
        <v>162</v>
      </c>
      <c r="T38" s="84" t="s">
        <v>67</v>
      </c>
      <c r="U38" s="84"/>
      <c r="V38" s="136"/>
      <c r="W38" s="84" t="str">
        <f t="shared" si="1"/>
        <v>3040000CCLRBARRY-ASH0CONTINGENCY</v>
      </c>
      <c r="X38" s="8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zoomScale="90" zoomScaleNormal="90" workbookViewId="0">
      <selection activeCell="A18" sqref="A18:I30"/>
    </sheetView>
  </sheetViews>
  <sheetFormatPr defaultRowHeight="15" x14ac:dyDescent="0.25"/>
  <cols>
    <col min="1" max="1" width="9.140625" style="144"/>
    <col min="2" max="2" width="82.28515625" style="144" bestFit="1" customWidth="1"/>
    <col min="3" max="5" width="9.140625" style="144"/>
    <col min="6" max="6" width="11.85546875" style="144" bestFit="1" customWidth="1"/>
    <col min="7" max="8" width="9.140625" style="144"/>
    <col min="9" max="9" width="10.28515625" style="144" customWidth="1"/>
    <col min="10" max="10" width="9.140625" style="144"/>
    <col min="11" max="11" width="8.5703125" style="144" bestFit="1" customWidth="1"/>
    <col min="12" max="12" width="9.140625" style="144"/>
    <col min="13" max="13" width="8.42578125" style="144" bestFit="1" customWidth="1"/>
    <col min="14" max="14" width="9.140625" style="144"/>
    <col min="15" max="15" width="11.7109375" style="144" bestFit="1" customWidth="1"/>
    <col min="16" max="16" width="9.140625" style="144"/>
    <col min="17" max="17" width="10.140625" style="144" bestFit="1" customWidth="1"/>
    <col min="18" max="19" width="9.140625" style="144"/>
    <col min="20" max="20" width="105.140625" style="144" bestFit="1" customWidth="1"/>
    <col min="21" max="32" width="9.140625" style="144"/>
    <col min="33" max="33" width="9.7109375" style="144" bestFit="1" customWidth="1"/>
    <col min="34" max="34" width="4.5703125" style="144" bestFit="1" customWidth="1"/>
    <col min="35" max="35" width="9.7109375" style="144" bestFit="1" customWidth="1"/>
    <col min="36" max="16384" width="9.140625" style="144"/>
  </cols>
  <sheetData>
    <row r="1" spans="1:36" x14ac:dyDescent="0.25">
      <c r="A1" s="1"/>
      <c r="B1" s="2"/>
      <c r="C1" s="63"/>
      <c r="D1" s="64"/>
      <c r="E1" s="65"/>
      <c r="F1" s="66" t="e">
        <f>#REF!+#REF!+#REF!</f>
        <v>#REF!</v>
      </c>
      <c r="G1" s="67"/>
      <c r="H1" s="68"/>
      <c r="I1" s="63"/>
      <c r="J1" s="69"/>
      <c r="K1" s="7"/>
      <c r="L1" s="7"/>
      <c r="M1" s="2"/>
      <c r="N1" s="7"/>
      <c r="O1" s="7"/>
      <c r="P1" s="7"/>
      <c r="Q1" s="2"/>
      <c r="R1" s="67"/>
      <c r="S1" s="68"/>
      <c r="T1" s="7"/>
      <c r="U1" s="69"/>
      <c r="V1" s="7"/>
      <c r="W1" s="7"/>
      <c r="X1" s="2"/>
      <c r="Y1" s="7"/>
      <c r="Z1" s="7"/>
      <c r="AA1" s="7"/>
      <c r="AB1" s="2"/>
      <c r="AC1" s="70"/>
      <c r="AD1" s="68"/>
      <c r="AE1" s="7"/>
      <c r="AF1" s="69"/>
      <c r="AG1" s="7"/>
      <c r="AH1" s="7"/>
      <c r="AI1" s="2"/>
      <c r="AJ1" s="7"/>
    </row>
    <row r="2" spans="1:36" x14ac:dyDescent="0.25">
      <c r="A2" s="1"/>
      <c r="B2" s="2"/>
      <c r="C2" s="63"/>
      <c r="D2" s="64"/>
      <c r="E2" s="65"/>
      <c r="F2" s="66">
        <v>11328802</v>
      </c>
      <c r="G2" s="67"/>
      <c r="H2" s="68"/>
      <c r="I2" s="63"/>
      <c r="J2" s="69"/>
      <c r="K2" s="7"/>
      <c r="L2" s="7"/>
      <c r="M2" s="2"/>
      <c r="N2" s="7"/>
      <c r="O2" s="145">
        <v>42314</v>
      </c>
      <c r="P2" s="7"/>
      <c r="Q2" s="145">
        <f>O2</f>
        <v>42314</v>
      </c>
      <c r="R2" s="67"/>
      <c r="S2" s="68"/>
      <c r="T2" s="7"/>
      <c r="U2" s="69"/>
      <c r="V2" s="7"/>
      <c r="W2" s="7"/>
      <c r="X2" s="2"/>
      <c r="Y2" s="7"/>
      <c r="Z2" s="7"/>
      <c r="AA2" s="7"/>
      <c r="AB2" s="2"/>
      <c r="AC2" s="70"/>
      <c r="AD2" s="68"/>
      <c r="AE2" s="7"/>
      <c r="AF2" s="69"/>
      <c r="AG2" s="145">
        <v>42369</v>
      </c>
      <c r="AH2" s="7"/>
      <c r="AI2" s="145">
        <v>42369</v>
      </c>
      <c r="AJ2" s="7"/>
    </row>
    <row r="3" spans="1:36" x14ac:dyDescent="0.25">
      <c r="A3" s="1"/>
      <c r="B3" s="46"/>
      <c r="C3" s="54"/>
      <c r="D3" s="71"/>
      <c r="E3" s="72"/>
      <c r="F3" s="72" t="e">
        <f>F1-F2</f>
        <v>#REF!</v>
      </c>
      <c r="G3" s="55"/>
      <c r="H3" s="56"/>
      <c r="I3" s="119" t="s">
        <v>199</v>
      </c>
      <c r="J3" s="69"/>
      <c r="K3" s="7"/>
      <c r="L3" s="7"/>
      <c r="M3" s="2"/>
      <c r="N3" s="7"/>
      <c r="O3" s="119" t="s">
        <v>199</v>
      </c>
      <c r="P3" s="7"/>
      <c r="Q3" s="146" t="s">
        <v>229</v>
      </c>
      <c r="R3" s="67"/>
      <c r="S3" s="68"/>
      <c r="T3" s="7"/>
      <c r="U3" s="69"/>
      <c r="V3" s="7"/>
      <c r="W3" s="7"/>
      <c r="X3" s="2"/>
      <c r="Y3" s="7"/>
      <c r="Z3" s="7"/>
      <c r="AA3" s="7"/>
      <c r="AB3" s="2"/>
      <c r="AC3" s="70"/>
      <c r="AD3" s="68"/>
      <c r="AE3" s="7"/>
      <c r="AF3" s="69"/>
      <c r="AG3" s="119" t="s">
        <v>199</v>
      </c>
      <c r="AH3" s="7"/>
      <c r="AI3" s="119" t="s">
        <v>229</v>
      </c>
      <c r="AJ3" s="7"/>
    </row>
    <row r="4" spans="1:36" x14ac:dyDescent="0.25">
      <c r="A4" s="1"/>
      <c r="B4" s="2"/>
      <c r="C4" s="63"/>
      <c r="D4" s="64"/>
      <c r="E4" s="65"/>
      <c r="F4" s="66"/>
      <c r="G4" s="67"/>
      <c r="H4" s="68"/>
      <c r="I4" s="143" t="s">
        <v>200</v>
      </c>
      <c r="J4" s="69"/>
      <c r="K4" s="7"/>
      <c r="L4" s="7"/>
      <c r="M4" s="2" t="s">
        <v>230</v>
      </c>
      <c r="N4" s="7"/>
      <c r="O4" s="143" t="s">
        <v>200</v>
      </c>
      <c r="P4" s="7"/>
      <c r="Q4" s="146" t="s">
        <v>200</v>
      </c>
      <c r="R4" s="67"/>
      <c r="S4" s="68"/>
      <c r="T4" s="147" t="s">
        <v>231</v>
      </c>
      <c r="U4" s="69"/>
      <c r="V4" s="7"/>
      <c r="W4" s="7"/>
      <c r="X4" s="2"/>
      <c r="Y4" s="7"/>
      <c r="Z4" s="7"/>
      <c r="AA4" s="7"/>
      <c r="AB4" s="2"/>
      <c r="AC4" s="70"/>
      <c r="AD4" s="68"/>
      <c r="AE4" s="7"/>
      <c r="AF4" s="69"/>
      <c r="AG4" s="143" t="s">
        <v>200</v>
      </c>
      <c r="AH4" s="7"/>
      <c r="AI4" s="143" t="s">
        <v>200</v>
      </c>
      <c r="AJ4" s="7"/>
    </row>
    <row r="5" spans="1:36" x14ac:dyDescent="0.25">
      <c r="A5" s="1"/>
      <c r="B5" s="75" t="s">
        <v>201</v>
      </c>
      <c r="C5" s="63"/>
      <c r="D5" s="64"/>
      <c r="E5" s="65"/>
      <c r="F5" s="148">
        <v>245</v>
      </c>
      <c r="G5" s="67"/>
      <c r="H5" s="68"/>
      <c r="I5" s="140">
        <v>-180.52631578947367</v>
      </c>
      <c r="J5" s="69"/>
      <c r="K5" s="149">
        <f>-I5/F5</f>
        <v>0.73684210526315785</v>
      </c>
      <c r="L5" s="150"/>
      <c r="M5" s="151">
        <f>I5-Q5</f>
        <v>-56.736315789473664</v>
      </c>
      <c r="N5" s="7"/>
      <c r="O5" s="152">
        <v>168</v>
      </c>
      <c r="P5" s="7"/>
      <c r="Q5" s="148">
        <f t="shared" ref="Q5:Q6" si="0">IF(O5="","",ROUND(O5*-K5,2))</f>
        <v>-123.79</v>
      </c>
      <c r="R5" s="67"/>
      <c r="S5" s="68"/>
      <c r="T5" s="153" t="s">
        <v>232</v>
      </c>
      <c r="U5" s="69"/>
      <c r="V5" s="7"/>
      <c r="W5" s="7"/>
      <c r="X5" s="2"/>
      <c r="Y5" s="7"/>
      <c r="Z5" s="7"/>
      <c r="AA5" s="7"/>
      <c r="AB5" s="2"/>
      <c r="AC5" s="70"/>
      <c r="AD5" s="68"/>
      <c r="AE5" s="7"/>
      <c r="AF5" s="69"/>
      <c r="AG5" s="154">
        <f>0.092*2000</f>
        <v>184</v>
      </c>
      <c r="AH5" s="7" t="s">
        <v>233</v>
      </c>
      <c r="AI5" s="148">
        <f>AG5*K5</f>
        <v>135.57894736842104</v>
      </c>
      <c r="AJ5" s="7"/>
    </row>
    <row r="6" spans="1:36" x14ac:dyDescent="0.25">
      <c r="A6" s="1"/>
      <c r="B6" s="75" t="s">
        <v>202</v>
      </c>
      <c r="C6" s="63"/>
      <c r="D6" s="64"/>
      <c r="E6" s="65"/>
      <c r="F6" s="148">
        <v>0.69</v>
      </c>
      <c r="G6" s="67"/>
      <c r="H6" s="68"/>
      <c r="I6" s="141">
        <v>-0.39039473684210513</v>
      </c>
      <c r="J6" s="69"/>
      <c r="K6" s="149">
        <f t="shared" ref="K6:K14" si="1">-I6/F6</f>
        <v>0.5657894736842104</v>
      </c>
      <c r="L6" s="150"/>
      <c r="M6" s="151">
        <f t="shared" ref="M6:M14" si="2">I6-Q6</f>
        <v>-1.0394736842105123E-2</v>
      </c>
      <c r="N6" s="7"/>
      <c r="O6" s="152">
        <v>0.67</v>
      </c>
      <c r="P6" s="7"/>
      <c r="Q6" s="148">
        <f t="shared" si="0"/>
        <v>-0.38</v>
      </c>
      <c r="R6" s="67"/>
      <c r="S6" s="68"/>
      <c r="T6" s="153" t="s">
        <v>234</v>
      </c>
      <c r="U6" s="69"/>
      <c r="V6" s="7"/>
      <c r="W6" s="7"/>
      <c r="X6" s="2"/>
      <c r="Y6" s="7"/>
      <c r="Z6" s="7"/>
      <c r="AA6" s="7"/>
      <c r="AB6" s="2"/>
      <c r="AC6" s="70"/>
      <c r="AD6" s="68"/>
      <c r="AE6" s="7"/>
      <c r="AF6" s="69"/>
      <c r="AG6" s="152">
        <v>0.68289999999999995</v>
      </c>
      <c r="AH6" s="7"/>
      <c r="AI6" s="148">
        <f t="shared" ref="AI6:AI14" si="3">AG6*K6</f>
        <v>0.38637763157894728</v>
      </c>
      <c r="AJ6" s="7"/>
    </row>
    <row r="7" spans="1:36" x14ac:dyDescent="0.25">
      <c r="A7" s="1"/>
      <c r="B7" s="75" t="s">
        <v>203</v>
      </c>
      <c r="C7" s="63"/>
      <c r="D7" s="64"/>
      <c r="E7" s="65"/>
      <c r="F7" s="148">
        <v>2.27</v>
      </c>
      <c r="G7" s="67"/>
      <c r="H7" s="68"/>
      <c r="I7" s="141">
        <v>-0.37018461538461545</v>
      </c>
      <c r="J7" s="69"/>
      <c r="K7" s="149">
        <f t="shared" si="1"/>
        <v>0.16307692307692309</v>
      </c>
      <c r="L7" s="150"/>
      <c r="M7" s="151">
        <f t="shared" si="2"/>
        <v>-1.8461538461544968E-4</v>
      </c>
      <c r="N7" s="7"/>
      <c r="O7" s="152">
        <v>2.29</v>
      </c>
      <c r="P7" s="7"/>
      <c r="Q7" s="148">
        <f>IF(O7="","",ROUND(O7*-K7,2))</f>
        <v>-0.37</v>
      </c>
      <c r="R7" s="67"/>
      <c r="S7" s="68"/>
      <c r="T7" s="153" t="s">
        <v>235</v>
      </c>
      <c r="U7" s="69"/>
      <c r="V7" s="7"/>
      <c r="W7" s="7"/>
      <c r="X7" s="2"/>
      <c r="Y7" s="7"/>
      <c r="Z7" s="7"/>
      <c r="AA7" s="7"/>
      <c r="AB7" s="2"/>
      <c r="AC7" s="70"/>
      <c r="AD7" s="68"/>
      <c r="AE7" s="7"/>
      <c r="AF7" s="69"/>
      <c r="AG7" s="152">
        <v>2.2759</v>
      </c>
      <c r="AH7" s="7" t="s">
        <v>233</v>
      </c>
      <c r="AI7" s="148">
        <f t="shared" si="3"/>
        <v>0.37114676923076928</v>
      </c>
      <c r="AJ7" s="7"/>
    </row>
    <row r="8" spans="1:36" x14ac:dyDescent="0.25">
      <c r="A8" s="1"/>
      <c r="B8" s="44" t="s">
        <v>204</v>
      </c>
      <c r="C8" s="63"/>
      <c r="D8" s="64"/>
      <c r="E8" s="65"/>
      <c r="F8" s="148">
        <v>0.5</v>
      </c>
      <c r="G8" s="67"/>
      <c r="H8" s="68"/>
      <c r="I8" s="141">
        <v>-0.18394000674081565</v>
      </c>
      <c r="J8" s="69"/>
      <c r="K8" s="149">
        <f t="shared" si="1"/>
        <v>0.3678800134816313</v>
      </c>
      <c r="L8" s="150"/>
      <c r="M8" s="151">
        <f t="shared" si="2"/>
        <v>-2.3940006740815645E-2</v>
      </c>
      <c r="N8" s="7"/>
      <c r="O8" s="152">
        <v>0.44</v>
      </c>
      <c r="P8" s="7"/>
      <c r="Q8" s="148">
        <f t="shared" ref="Q8:Q14" si="4">IF(O8="","",ROUND(O8*-K8,2))</f>
        <v>-0.16</v>
      </c>
      <c r="R8" s="67"/>
      <c r="S8" s="68"/>
      <c r="T8" s="153" t="s">
        <v>236</v>
      </c>
      <c r="U8" s="69"/>
      <c r="V8" s="7"/>
      <c r="W8" s="7"/>
      <c r="X8" s="2"/>
      <c r="Y8" s="7"/>
      <c r="Z8" s="7"/>
      <c r="AA8" s="7"/>
      <c r="AB8" s="2"/>
      <c r="AC8" s="70"/>
      <c r="AD8" s="68"/>
      <c r="AE8" s="7"/>
      <c r="AF8" s="69"/>
      <c r="AG8" s="154"/>
      <c r="AH8" s="7"/>
      <c r="AI8" s="148">
        <f t="shared" si="3"/>
        <v>0</v>
      </c>
      <c r="AJ8" s="7"/>
    </row>
    <row r="9" spans="1:36" x14ac:dyDescent="0.25">
      <c r="A9" s="1"/>
      <c r="B9" s="44" t="s">
        <v>205</v>
      </c>
      <c r="C9" s="63"/>
      <c r="D9" s="64"/>
      <c r="E9" s="65"/>
      <c r="F9" s="148">
        <v>0.5</v>
      </c>
      <c r="G9" s="67"/>
      <c r="H9" s="68"/>
      <c r="I9" s="125">
        <v>-0.22371081900910006</v>
      </c>
      <c r="J9" s="69"/>
      <c r="K9" s="149">
        <f t="shared" si="1"/>
        <v>0.44742163801820012</v>
      </c>
      <c r="L9" s="150"/>
      <c r="M9" s="151">
        <f t="shared" si="2"/>
        <v>-2.3710819009100048E-2</v>
      </c>
      <c r="N9" s="7"/>
      <c r="O9" s="152">
        <v>0.44</v>
      </c>
      <c r="P9" s="7"/>
      <c r="Q9" s="148">
        <f t="shared" si="4"/>
        <v>-0.2</v>
      </c>
      <c r="R9" s="67"/>
      <c r="S9" s="68"/>
      <c r="T9" s="153" t="s">
        <v>236</v>
      </c>
      <c r="U9" s="69"/>
      <c r="V9" s="7"/>
      <c r="W9" s="7"/>
      <c r="X9" s="2"/>
      <c r="Y9" s="7"/>
      <c r="Z9" s="7"/>
      <c r="AA9" s="7"/>
      <c r="AB9" s="2"/>
      <c r="AC9" s="70"/>
      <c r="AD9" s="68"/>
      <c r="AE9" s="7"/>
      <c r="AF9" s="69"/>
      <c r="AG9" s="154"/>
      <c r="AH9" s="7"/>
      <c r="AI9" s="148">
        <f t="shared" si="3"/>
        <v>0</v>
      </c>
      <c r="AJ9" s="7"/>
    </row>
    <row r="10" spans="1:36" x14ac:dyDescent="0.25">
      <c r="A10" s="1"/>
      <c r="B10" s="44" t="s">
        <v>206</v>
      </c>
      <c r="C10" s="63"/>
      <c r="D10" s="64"/>
      <c r="E10" s="65"/>
      <c r="F10" s="148"/>
      <c r="G10" s="67"/>
      <c r="H10" s="68"/>
      <c r="I10" s="72">
        <v>-460.98461538461538</v>
      </c>
      <c r="J10" s="69"/>
      <c r="K10" s="149"/>
      <c r="L10" s="150"/>
      <c r="M10" s="151"/>
      <c r="N10" s="7"/>
      <c r="O10" s="152"/>
      <c r="P10" s="7"/>
      <c r="Q10" s="148" t="str">
        <f t="shared" si="4"/>
        <v/>
      </c>
      <c r="R10" s="67"/>
      <c r="S10" s="68"/>
      <c r="T10" s="7"/>
      <c r="U10" s="69"/>
      <c r="V10" s="7"/>
      <c r="W10" s="7"/>
      <c r="X10" s="2"/>
      <c r="Y10" s="7"/>
      <c r="Z10" s="7"/>
      <c r="AA10" s="7"/>
      <c r="AB10" s="2"/>
      <c r="AC10" s="70"/>
      <c r="AD10" s="68"/>
      <c r="AE10" s="7"/>
      <c r="AF10" s="69"/>
      <c r="AG10" s="154"/>
      <c r="AH10" s="7"/>
      <c r="AI10" s="148">
        <f t="shared" si="3"/>
        <v>0</v>
      </c>
      <c r="AJ10" s="7"/>
    </row>
    <row r="11" spans="1:36" x14ac:dyDescent="0.25">
      <c r="A11" s="1"/>
      <c r="B11" s="44" t="s">
        <v>207</v>
      </c>
      <c r="C11" s="63"/>
      <c r="D11" s="64"/>
      <c r="E11" s="65"/>
      <c r="F11" s="148">
        <v>0.55000000000000004</v>
      </c>
      <c r="G11" s="67"/>
      <c r="H11" s="68"/>
      <c r="I11" s="125">
        <v>-0.36</v>
      </c>
      <c r="J11" s="69"/>
      <c r="K11" s="149">
        <f t="shared" si="1"/>
        <v>0.65454545454545443</v>
      </c>
      <c r="L11" s="150"/>
      <c r="M11" s="151">
        <f t="shared" si="2"/>
        <v>-0.10999999999999999</v>
      </c>
      <c r="N11" s="7"/>
      <c r="O11" s="152">
        <v>0.375</v>
      </c>
      <c r="P11" s="7"/>
      <c r="Q11" s="148">
        <f t="shared" si="4"/>
        <v>-0.25</v>
      </c>
      <c r="R11" s="67"/>
      <c r="S11" s="68"/>
      <c r="T11" s="153" t="s">
        <v>237</v>
      </c>
      <c r="U11" s="69"/>
      <c r="V11" s="7"/>
      <c r="W11" s="7"/>
      <c r="X11" s="2"/>
      <c r="Y11" s="7"/>
      <c r="Z11" s="7"/>
      <c r="AA11" s="7"/>
      <c r="AB11" s="2"/>
      <c r="AC11" s="70"/>
      <c r="AD11" s="68"/>
      <c r="AE11" s="7"/>
      <c r="AF11" s="69"/>
      <c r="AG11" s="154"/>
      <c r="AH11" s="7"/>
      <c r="AI11" s="148">
        <f t="shared" si="3"/>
        <v>0</v>
      </c>
      <c r="AJ11" s="7"/>
    </row>
    <row r="12" spans="1:36" x14ac:dyDescent="0.25">
      <c r="A12" s="1"/>
      <c r="B12" s="44" t="s">
        <v>208</v>
      </c>
      <c r="C12" s="63"/>
      <c r="D12" s="64"/>
      <c r="E12" s="65"/>
      <c r="F12" s="148">
        <v>1.66</v>
      </c>
      <c r="G12" s="67"/>
      <c r="H12" s="68"/>
      <c r="I12" s="125">
        <v>-1.7512999999999999</v>
      </c>
      <c r="J12" s="69"/>
      <c r="K12" s="149">
        <f t="shared" si="1"/>
        <v>1.0549999999999999</v>
      </c>
      <c r="L12" s="150"/>
      <c r="M12" s="151">
        <f t="shared" si="2"/>
        <v>-5.1299999999999901E-2</v>
      </c>
      <c r="N12" s="7"/>
      <c r="O12" s="152">
        <v>1.61</v>
      </c>
      <c r="P12" s="7"/>
      <c r="Q12" s="148">
        <f t="shared" si="4"/>
        <v>-1.7</v>
      </c>
      <c r="R12" s="67"/>
      <c r="S12" s="68"/>
      <c r="T12" s="153" t="s">
        <v>238</v>
      </c>
      <c r="U12" s="69"/>
      <c r="V12" s="7"/>
      <c r="W12" s="7"/>
      <c r="X12" s="2"/>
      <c r="Y12" s="7"/>
      <c r="Z12" s="7"/>
      <c r="AA12" s="7"/>
      <c r="AB12" s="2"/>
      <c r="AC12" s="70"/>
      <c r="AD12" s="68"/>
      <c r="AE12" s="7"/>
      <c r="AF12" s="69"/>
      <c r="AG12" s="154"/>
      <c r="AH12" s="7"/>
      <c r="AI12" s="148">
        <f t="shared" si="3"/>
        <v>0</v>
      </c>
      <c r="AJ12" s="7"/>
    </row>
    <row r="13" spans="1:36" x14ac:dyDescent="0.25">
      <c r="A13" s="1"/>
      <c r="B13" s="44" t="s">
        <v>209</v>
      </c>
      <c r="C13" s="63"/>
      <c r="D13" s="64"/>
      <c r="E13" s="65"/>
      <c r="F13" s="148">
        <v>2.0699999999999998</v>
      </c>
      <c r="G13" s="67"/>
      <c r="H13" s="68"/>
      <c r="I13" s="141">
        <v>-1.5825</v>
      </c>
      <c r="J13" s="69"/>
      <c r="K13" s="149">
        <f t="shared" si="1"/>
        <v>0.76449275362318847</v>
      </c>
      <c r="L13" s="150"/>
      <c r="M13" s="151">
        <f t="shared" si="2"/>
        <v>-6.25E-2</v>
      </c>
      <c r="N13" s="7"/>
      <c r="O13" s="152">
        <v>1.99</v>
      </c>
      <c r="P13" s="7"/>
      <c r="Q13" s="148">
        <f t="shared" si="4"/>
        <v>-1.52</v>
      </c>
      <c r="R13" s="67"/>
      <c r="S13" s="68"/>
      <c r="T13" s="153" t="s">
        <v>239</v>
      </c>
      <c r="U13" s="69"/>
      <c r="V13" s="7"/>
      <c r="W13" s="7"/>
      <c r="X13" s="2"/>
      <c r="Y13" s="7"/>
      <c r="Z13" s="7"/>
      <c r="AA13" s="7"/>
      <c r="AB13" s="2"/>
      <c r="AC13" s="70"/>
      <c r="AD13" s="68"/>
      <c r="AE13" s="7"/>
      <c r="AF13" s="69"/>
      <c r="AG13" s="154"/>
      <c r="AH13" s="7"/>
      <c r="AI13" s="148">
        <f t="shared" si="3"/>
        <v>0</v>
      </c>
      <c r="AJ13" s="7"/>
    </row>
    <row r="14" spans="1:36" x14ac:dyDescent="0.25">
      <c r="A14" s="1"/>
      <c r="B14" s="44" t="s">
        <v>210</v>
      </c>
      <c r="C14" s="63"/>
      <c r="D14" s="64"/>
      <c r="E14" s="65"/>
      <c r="F14" s="148">
        <v>0.5</v>
      </c>
      <c r="G14" s="67"/>
      <c r="H14" s="68"/>
      <c r="I14" s="125">
        <v>-0.27325581395348836</v>
      </c>
      <c r="J14" s="69"/>
      <c r="K14" s="149">
        <f t="shared" si="1"/>
        <v>0.54651162790697672</v>
      </c>
      <c r="L14" s="150"/>
      <c r="M14" s="151">
        <f t="shared" si="2"/>
        <v>-3.3255813953488367E-2</v>
      </c>
      <c r="N14" s="7"/>
      <c r="O14" s="152">
        <v>0.44</v>
      </c>
      <c r="P14" s="7"/>
      <c r="Q14" s="148">
        <f t="shared" si="4"/>
        <v>-0.24</v>
      </c>
      <c r="R14" s="67"/>
      <c r="S14" s="68"/>
      <c r="T14" s="153" t="s">
        <v>236</v>
      </c>
      <c r="U14" s="69"/>
      <c r="V14" s="7"/>
      <c r="W14" s="7"/>
      <c r="X14" s="2"/>
      <c r="Y14" s="7"/>
      <c r="Z14" s="7"/>
      <c r="AA14" s="7"/>
      <c r="AB14" s="2"/>
      <c r="AC14" s="70"/>
      <c r="AD14" s="68"/>
      <c r="AE14" s="7"/>
      <c r="AF14" s="69"/>
      <c r="AG14" s="154"/>
      <c r="AH14" s="7"/>
      <c r="AI14" s="148">
        <f t="shared" si="3"/>
        <v>0</v>
      </c>
      <c r="AJ14" s="7"/>
    </row>
    <row r="15" spans="1:36" x14ac:dyDescent="0.25">
      <c r="A15" s="1"/>
      <c r="B15" s="2"/>
      <c r="C15" s="63"/>
      <c r="D15" s="64"/>
      <c r="E15" s="65"/>
      <c r="F15" s="66"/>
      <c r="G15" s="67"/>
      <c r="H15" s="68"/>
      <c r="I15" s="63"/>
      <c r="J15" s="69"/>
      <c r="K15" s="7"/>
      <c r="L15" s="7"/>
      <c r="M15" s="2"/>
      <c r="N15" s="7"/>
      <c r="O15" s="7"/>
      <c r="P15" s="7"/>
      <c r="Q15" s="2"/>
      <c r="R15" s="67"/>
      <c r="S15" s="68"/>
      <c r="T15" s="7"/>
      <c r="U15" s="69"/>
      <c r="V15" s="7"/>
      <c r="W15" s="7"/>
      <c r="X15" s="2"/>
      <c r="Y15" s="7"/>
      <c r="Z15" s="7"/>
      <c r="AA15" s="7"/>
      <c r="AB15" s="2"/>
      <c r="AC15" s="70"/>
      <c r="AD15" s="68"/>
      <c r="AE15" s="7"/>
      <c r="AF15" s="69"/>
      <c r="AG15" s="7"/>
      <c r="AH15" s="7"/>
      <c r="AI15" s="2"/>
      <c r="AJ15" s="7"/>
    </row>
    <row r="16" spans="1:36" x14ac:dyDescent="0.25">
      <c r="A16" s="1"/>
      <c r="B16" s="2"/>
      <c r="C16" s="63"/>
      <c r="D16" s="64"/>
      <c r="E16" s="65"/>
      <c r="F16" s="66"/>
      <c r="G16" s="67"/>
      <c r="H16" s="68"/>
      <c r="I16" s="63"/>
      <c r="J16" s="69"/>
      <c r="K16" s="7"/>
      <c r="L16" s="7"/>
      <c r="M16" s="2"/>
      <c r="N16" s="7"/>
      <c r="O16" s="7"/>
      <c r="P16" s="7"/>
      <c r="Q16" s="2"/>
      <c r="R16" s="67"/>
      <c r="S16" s="68"/>
      <c r="T16" s="7"/>
      <c r="U16" s="69"/>
      <c r="V16" s="7"/>
      <c r="W16" s="7"/>
      <c r="X16" s="2"/>
      <c r="Y16" s="7"/>
      <c r="Z16" s="7"/>
      <c r="AA16" s="7"/>
      <c r="AB16" s="2"/>
      <c r="AC16" s="70"/>
      <c r="AD16" s="68"/>
      <c r="AE16" s="7"/>
      <c r="AF16" s="69"/>
      <c r="AG16" s="7"/>
      <c r="AH16" s="7"/>
      <c r="AI16" s="2"/>
      <c r="AJ16" s="7"/>
    </row>
    <row r="17" spans="1:36" x14ac:dyDescent="0.25">
      <c r="A17" s="1"/>
      <c r="B17" s="2"/>
      <c r="C17" s="63"/>
      <c r="D17" s="64"/>
      <c r="E17" s="65"/>
      <c r="F17" s="66"/>
      <c r="G17" s="67"/>
      <c r="H17" s="68"/>
      <c r="I17" s="63"/>
      <c r="J17" s="69"/>
      <c r="K17" s="7"/>
      <c r="L17" s="7"/>
      <c r="M17" s="2"/>
      <c r="N17" s="7"/>
      <c r="O17" s="7"/>
      <c r="P17" s="7"/>
      <c r="Q17" s="2"/>
      <c r="R17" s="67"/>
      <c r="S17" s="68"/>
      <c r="T17" s="7"/>
      <c r="U17" s="69"/>
      <c r="V17" s="7"/>
      <c r="W17" s="7"/>
      <c r="X17" s="2"/>
      <c r="Y17" s="7"/>
      <c r="Z17" s="7"/>
      <c r="AA17" s="7"/>
      <c r="AB17" s="2"/>
      <c r="AC17" s="70"/>
      <c r="AD17" s="68"/>
      <c r="AE17" s="7"/>
      <c r="AF17" s="69"/>
      <c r="AG17" s="7"/>
      <c r="AH17" s="7"/>
      <c r="AI17" s="2"/>
      <c r="AJ17" s="7"/>
    </row>
    <row r="18" spans="1:36" x14ac:dyDescent="0.25">
      <c r="A18" s="1"/>
      <c r="B18" s="2"/>
      <c r="C18" s="63"/>
      <c r="D18" s="64"/>
      <c r="E18" s="65"/>
      <c r="F18" s="145">
        <v>42314</v>
      </c>
      <c r="G18" s="67"/>
      <c r="H18" s="68"/>
      <c r="I18" s="145">
        <v>42314</v>
      </c>
      <c r="J18" s="69"/>
      <c r="K18" s="7"/>
      <c r="L18" s="7"/>
      <c r="M18" s="2"/>
      <c r="N18" s="7"/>
      <c r="O18" s="7"/>
      <c r="P18" s="7"/>
      <c r="Q18" s="2"/>
      <c r="R18" s="67"/>
      <c r="S18" s="68"/>
      <c r="T18" s="7"/>
      <c r="U18" s="69"/>
      <c r="V18" s="7"/>
      <c r="W18" s="7"/>
      <c r="X18" s="2"/>
      <c r="Y18" s="7"/>
      <c r="Z18" s="7"/>
      <c r="AA18" s="7"/>
      <c r="AB18" s="2"/>
      <c r="AC18" s="70"/>
      <c r="AD18" s="68"/>
      <c r="AE18" s="7"/>
      <c r="AF18" s="69"/>
      <c r="AG18" s="7"/>
      <c r="AH18" s="7"/>
      <c r="AI18" s="2"/>
      <c r="AJ18" s="7"/>
    </row>
    <row r="19" spans="1:36" x14ac:dyDescent="0.25">
      <c r="A19" s="1"/>
      <c r="B19" s="2"/>
      <c r="C19" s="63"/>
      <c r="D19" s="64"/>
      <c r="E19" s="65"/>
      <c r="F19" s="119" t="s">
        <v>199</v>
      </c>
      <c r="G19" s="67"/>
      <c r="H19" s="68"/>
      <c r="I19" s="146" t="s">
        <v>229</v>
      </c>
      <c r="J19" s="69"/>
      <c r="K19" s="7"/>
      <c r="L19" s="7"/>
      <c r="M19" s="2"/>
      <c r="N19" s="7"/>
      <c r="O19" s="7"/>
      <c r="P19" s="7"/>
      <c r="Q19" s="2"/>
      <c r="R19" s="67"/>
      <c r="S19" s="68"/>
      <c r="T19" s="7"/>
      <c r="U19" s="69"/>
      <c r="V19" s="7"/>
      <c r="W19" s="7"/>
      <c r="X19" s="2"/>
      <c r="Y19" s="7"/>
      <c r="Z19" s="7"/>
      <c r="AA19" s="7"/>
      <c r="AB19" s="2"/>
      <c r="AC19" s="70"/>
      <c r="AD19" s="68"/>
      <c r="AE19" s="7"/>
      <c r="AF19" s="69"/>
      <c r="AG19" s="7"/>
      <c r="AH19" s="7"/>
      <c r="AI19" s="2"/>
      <c r="AJ19" s="7"/>
    </row>
    <row r="20" spans="1:36" x14ac:dyDescent="0.25">
      <c r="A20" s="1"/>
      <c r="B20" s="2"/>
      <c r="C20" s="63"/>
      <c r="D20" s="64"/>
      <c r="E20" s="65"/>
      <c r="F20" s="143" t="s">
        <v>200</v>
      </c>
      <c r="G20" s="67"/>
      <c r="H20" s="68"/>
      <c r="I20" s="146" t="s">
        <v>200</v>
      </c>
      <c r="J20" s="69"/>
      <c r="K20" s="7"/>
      <c r="L20" s="7"/>
      <c r="M20" s="2"/>
      <c r="N20" s="7"/>
      <c r="O20" s="7"/>
      <c r="P20" s="7"/>
      <c r="Q20" s="2"/>
      <c r="R20" s="67"/>
      <c r="S20" s="68"/>
      <c r="T20" s="7"/>
      <c r="U20" s="69"/>
      <c r="V20" s="7"/>
      <c r="W20" s="7"/>
      <c r="X20" s="2"/>
      <c r="Y20" s="7"/>
      <c r="Z20" s="7"/>
      <c r="AA20" s="7"/>
      <c r="AB20" s="2"/>
      <c r="AC20" s="70"/>
      <c r="AD20" s="68"/>
      <c r="AE20" s="7"/>
      <c r="AF20" s="69"/>
      <c r="AG20" s="7"/>
      <c r="AH20" s="7"/>
      <c r="AI20" s="2"/>
      <c r="AJ20" s="7"/>
    </row>
    <row r="21" spans="1:36" x14ac:dyDescent="0.25">
      <c r="A21" s="1"/>
      <c r="B21" s="75" t="s">
        <v>240</v>
      </c>
      <c r="C21" s="63"/>
      <c r="D21" s="64"/>
      <c r="E21" s="65"/>
      <c r="F21" s="152">
        <v>168</v>
      </c>
      <c r="G21" s="67"/>
      <c r="H21" s="68"/>
      <c r="I21" s="140">
        <v>-123.79</v>
      </c>
      <c r="J21" s="69"/>
      <c r="K21" s="7"/>
      <c r="L21" s="7"/>
      <c r="M21" s="2"/>
      <c r="N21" s="7"/>
      <c r="O21" s="7"/>
      <c r="P21" s="7"/>
      <c r="Q21" s="2"/>
      <c r="R21" s="67"/>
      <c r="S21" s="68"/>
      <c r="T21" s="7"/>
      <c r="U21" s="69"/>
      <c r="V21" s="7"/>
      <c r="W21" s="7"/>
      <c r="X21" s="2"/>
      <c r="Y21" s="7"/>
      <c r="Z21" s="7"/>
      <c r="AA21" s="7"/>
      <c r="AB21" s="2"/>
      <c r="AC21" s="70"/>
      <c r="AD21" s="68"/>
      <c r="AE21" s="7"/>
      <c r="AF21" s="69"/>
      <c r="AG21" s="7"/>
      <c r="AH21" s="7"/>
      <c r="AI21" s="2"/>
      <c r="AJ21" s="7"/>
    </row>
    <row r="22" spans="1:36" x14ac:dyDescent="0.25">
      <c r="A22" s="1"/>
      <c r="B22" s="75" t="s">
        <v>241</v>
      </c>
      <c r="C22" s="63"/>
      <c r="D22" s="64"/>
      <c r="E22" s="65"/>
      <c r="F22" s="152">
        <v>0.67</v>
      </c>
      <c r="G22" s="67"/>
      <c r="H22" s="68"/>
      <c r="I22" s="141">
        <v>-0.38</v>
      </c>
      <c r="J22" s="69"/>
      <c r="K22" s="7"/>
      <c r="L22" s="7"/>
      <c r="M22" s="2"/>
      <c r="N22" s="7"/>
      <c r="O22" s="7"/>
      <c r="P22" s="7"/>
      <c r="Q22" s="2"/>
      <c r="R22" s="67"/>
      <c r="S22" s="68"/>
      <c r="T22" s="7"/>
      <c r="U22" s="69"/>
      <c r="V22" s="7"/>
      <c r="W22" s="7"/>
      <c r="X22" s="2"/>
      <c r="Y22" s="7"/>
      <c r="Z22" s="7"/>
      <c r="AA22" s="7"/>
      <c r="AB22" s="2"/>
      <c r="AC22" s="70"/>
      <c r="AD22" s="68"/>
      <c r="AE22" s="7"/>
      <c r="AF22" s="69"/>
      <c r="AG22" s="7"/>
      <c r="AH22" s="7"/>
      <c r="AI22" s="2"/>
      <c r="AJ22" s="7"/>
    </row>
    <row r="23" spans="1:36" x14ac:dyDescent="0.25">
      <c r="A23" s="1"/>
      <c r="B23" s="75" t="s">
        <v>242</v>
      </c>
      <c r="C23" s="63"/>
      <c r="D23" s="64"/>
      <c r="E23" s="65"/>
      <c r="F23" s="152">
        <v>2.29</v>
      </c>
      <c r="G23" s="67"/>
      <c r="H23" s="68"/>
      <c r="I23" s="141">
        <v>-0.37</v>
      </c>
      <c r="J23" s="69"/>
      <c r="K23" s="7"/>
      <c r="L23" s="7"/>
      <c r="M23" s="2"/>
      <c r="N23" s="7"/>
      <c r="O23" s="7"/>
      <c r="P23" s="7"/>
      <c r="Q23" s="2"/>
      <c r="R23" s="67"/>
      <c r="S23" s="68"/>
      <c r="T23" s="7"/>
      <c r="U23" s="69"/>
      <c r="V23" s="7"/>
      <c r="W23" s="7"/>
      <c r="X23" s="2"/>
      <c r="Y23" s="7"/>
      <c r="Z23" s="7"/>
      <c r="AA23" s="7"/>
      <c r="AB23" s="2"/>
      <c r="AC23" s="70"/>
      <c r="AD23" s="68"/>
      <c r="AE23" s="7"/>
      <c r="AF23" s="69"/>
      <c r="AG23" s="7"/>
      <c r="AH23" s="7"/>
      <c r="AI23" s="2"/>
      <c r="AJ23" s="7"/>
    </row>
    <row r="24" spans="1:36" x14ac:dyDescent="0.25">
      <c r="A24" s="1"/>
      <c r="B24" s="44" t="s">
        <v>243</v>
      </c>
      <c r="C24" s="63"/>
      <c r="D24" s="64"/>
      <c r="E24" s="65"/>
      <c r="F24" s="152">
        <v>0.44</v>
      </c>
      <c r="G24" s="67"/>
      <c r="H24" s="68"/>
      <c r="I24" s="141">
        <v>-0.16</v>
      </c>
      <c r="J24" s="69"/>
      <c r="K24" s="7"/>
      <c r="L24" s="7"/>
      <c r="M24" s="2"/>
      <c r="N24" s="7"/>
      <c r="O24" s="7"/>
      <c r="P24" s="7"/>
      <c r="Q24" s="2"/>
      <c r="R24" s="67"/>
      <c r="S24" s="68"/>
      <c r="T24" s="7"/>
      <c r="U24" s="69"/>
      <c r="V24" s="7"/>
      <c r="W24" s="7"/>
      <c r="X24" s="2"/>
      <c r="Y24" s="7"/>
      <c r="Z24" s="7"/>
      <c r="AA24" s="7"/>
      <c r="AB24" s="2"/>
      <c r="AC24" s="70"/>
      <c r="AD24" s="68"/>
      <c r="AE24" s="7"/>
      <c r="AF24" s="69"/>
      <c r="AG24" s="7"/>
      <c r="AH24" s="7"/>
      <c r="AI24" s="2"/>
      <c r="AJ24" s="7"/>
    </row>
    <row r="25" spans="1:36" x14ac:dyDescent="0.25">
      <c r="A25" s="1"/>
      <c r="B25" s="44" t="s">
        <v>244</v>
      </c>
      <c r="C25" s="63"/>
      <c r="D25" s="64"/>
      <c r="E25" s="65"/>
      <c r="F25" s="152">
        <v>0.44</v>
      </c>
      <c r="G25" s="67"/>
      <c r="H25" s="68"/>
      <c r="I25" s="125">
        <v>-0.2</v>
      </c>
      <c r="J25" s="69"/>
      <c r="K25" s="7"/>
      <c r="L25" s="7"/>
      <c r="M25" s="2"/>
      <c r="N25" s="7"/>
      <c r="O25" s="7"/>
      <c r="P25" s="7"/>
      <c r="Q25" s="2"/>
      <c r="R25" s="67"/>
      <c r="S25" s="68"/>
      <c r="T25" s="7"/>
      <c r="U25" s="69"/>
      <c r="V25" s="7"/>
      <c r="W25" s="7"/>
      <c r="X25" s="2"/>
      <c r="Y25" s="7"/>
      <c r="Z25" s="7"/>
      <c r="AA25" s="7"/>
      <c r="AB25" s="2"/>
      <c r="AC25" s="70"/>
      <c r="AD25" s="68"/>
      <c r="AE25" s="7"/>
      <c r="AF25" s="69"/>
      <c r="AG25" s="7"/>
      <c r="AH25" s="7"/>
      <c r="AI25" s="2"/>
      <c r="AJ25" s="7"/>
    </row>
    <row r="26" spans="1:36" x14ac:dyDescent="0.25">
      <c r="A26" s="1"/>
      <c r="B26" s="44" t="s">
        <v>245</v>
      </c>
      <c r="C26" s="63"/>
      <c r="D26" s="64"/>
      <c r="E26" s="65"/>
      <c r="F26" s="152"/>
      <c r="G26" s="67"/>
      <c r="H26" s="68"/>
      <c r="I26" s="72" t="s">
        <v>64</v>
      </c>
      <c r="J26" s="69"/>
      <c r="K26" s="7"/>
      <c r="L26" s="7"/>
      <c r="M26" s="2"/>
      <c r="N26" s="7"/>
      <c r="O26" s="7"/>
      <c r="P26" s="7"/>
      <c r="Q26" s="2"/>
      <c r="R26" s="67"/>
      <c r="S26" s="68"/>
      <c r="T26" s="7"/>
      <c r="U26" s="69"/>
      <c r="V26" s="7"/>
      <c r="W26" s="7"/>
      <c r="X26" s="2"/>
      <c r="Y26" s="7"/>
      <c r="Z26" s="7"/>
      <c r="AA26" s="7"/>
      <c r="AB26" s="2"/>
      <c r="AC26" s="70"/>
      <c r="AD26" s="68"/>
      <c r="AE26" s="7"/>
      <c r="AF26" s="69"/>
      <c r="AG26" s="7"/>
      <c r="AH26" s="7"/>
      <c r="AI26" s="2"/>
      <c r="AJ26" s="7"/>
    </row>
    <row r="27" spans="1:36" x14ac:dyDescent="0.25">
      <c r="A27" s="1"/>
      <c r="B27" s="44" t="s">
        <v>246</v>
      </c>
      <c r="C27" s="63"/>
      <c r="D27" s="64"/>
      <c r="E27" s="65"/>
      <c r="F27" s="152">
        <v>0.375</v>
      </c>
      <c r="G27" s="67"/>
      <c r="H27" s="68"/>
      <c r="I27" s="125">
        <v>-0.25</v>
      </c>
      <c r="J27" s="69"/>
      <c r="K27" s="7"/>
      <c r="L27" s="7"/>
      <c r="M27" s="2"/>
      <c r="N27" s="7"/>
      <c r="O27" s="7"/>
      <c r="P27" s="7"/>
      <c r="Q27" s="2"/>
      <c r="R27" s="67"/>
      <c r="S27" s="68"/>
      <c r="T27" s="7"/>
      <c r="U27" s="69"/>
      <c r="V27" s="7"/>
      <c r="W27" s="7"/>
      <c r="X27" s="2"/>
      <c r="Y27" s="7"/>
      <c r="Z27" s="7"/>
      <c r="AA27" s="7"/>
      <c r="AB27" s="2"/>
      <c r="AC27" s="70"/>
      <c r="AD27" s="68"/>
      <c r="AE27" s="7"/>
      <c r="AF27" s="69"/>
      <c r="AG27" s="7"/>
      <c r="AH27" s="7"/>
      <c r="AI27" s="2"/>
      <c r="AJ27" s="7"/>
    </row>
    <row r="28" spans="1:36" x14ac:dyDescent="0.25">
      <c r="A28" s="1"/>
      <c r="B28" s="44" t="s">
        <v>247</v>
      </c>
      <c r="C28" s="63"/>
      <c r="D28" s="64"/>
      <c r="E28" s="65"/>
      <c r="F28" s="152">
        <v>1.61</v>
      </c>
      <c r="G28" s="67"/>
      <c r="H28" s="68"/>
      <c r="I28" s="125">
        <v>-1.7</v>
      </c>
      <c r="J28" s="69"/>
      <c r="K28" s="7"/>
      <c r="L28" s="7"/>
      <c r="M28" s="2"/>
      <c r="N28" s="7"/>
      <c r="O28" s="7"/>
      <c r="P28" s="7"/>
      <c r="Q28" s="2"/>
      <c r="R28" s="67"/>
      <c r="S28" s="68"/>
      <c r="T28" s="7"/>
      <c r="U28" s="69"/>
      <c r="V28" s="7"/>
      <c r="W28" s="7"/>
      <c r="X28" s="2"/>
      <c r="Y28" s="7"/>
      <c r="Z28" s="7"/>
      <c r="AA28" s="7"/>
      <c r="AB28" s="2"/>
      <c r="AC28" s="70"/>
      <c r="AD28" s="68"/>
      <c r="AE28" s="7"/>
      <c r="AF28" s="69"/>
      <c r="AG28" s="7"/>
      <c r="AH28" s="7"/>
      <c r="AI28" s="2"/>
      <c r="AJ28" s="7"/>
    </row>
    <row r="29" spans="1:36" x14ac:dyDescent="0.25">
      <c r="A29" s="1"/>
      <c r="B29" s="44" t="s">
        <v>248</v>
      </c>
      <c r="C29" s="63"/>
      <c r="D29" s="64"/>
      <c r="E29" s="65"/>
      <c r="F29" s="152">
        <v>1.99</v>
      </c>
      <c r="G29" s="67"/>
      <c r="H29" s="68"/>
      <c r="I29" s="141">
        <v>-1.52</v>
      </c>
      <c r="J29" s="69"/>
      <c r="K29" s="7"/>
      <c r="L29" s="7"/>
      <c r="M29" s="2"/>
      <c r="N29" s="7"/>
      <c r="O29" s="7"/>
      <c r="P29" s="7"/>
      <c r="Q29" s="2"/>
      <c r="R29" s="67"/>
      <c r="S29" s="68"/>
      <c r="T29" s="7"/>
      <c r="U29" s="69"/>
      <c r="V29" s="7"/>
      <c r="W29" s="7"/>
      <c r="X29" s="2"/>
      <c r="Y29" s="7"/>
      <c r="Z29" s="7"/>
      <c r="AA29" s="7"/>
      <c r="AB29" s="2"/>
      <c r="AC29" s="70"/>
      <c r="AD29" s="68"/>
      <c r="AE29" s="7"/>
      <c r="AF29" s="69"/>
      <c r="AG29" s="7"/>
      <c r="AH29" s="7"/>
      <c r="AI29" s="2"/>
      <c r="AJ29" s="7"/>
    </row>
    <row r="30" spans="1:36" x14ac:dyDescent="0.25">
      <c r="A30" s="1"/>
      <c r="B30" s="44" t="s">
        <v>249</v>
      </c>
      <c r="C30" s="63"/>
      <c r="D30" s="64"/>
      <c r="E30" s="65"/>
      <c r="F30" s="152">
        <v>0.44</v>
      </c>
      <c r="G30" s="67"/>
      <c r="H30" s="68"/>
      <c r="I30" s="125">
        <v>-0.24</v>
      </c>
      <c r="J30" s="69"/>
      <c r="K30" s="7"/>
      <c r="L30" s="7"/>
      <c r="M30" s="2"/>
      <c r="N30" s="7"/>
      <c r="O30" s="7"/>
      <c r="P30" s="7"/>
      <c r="Q30" s="2"/>
      <c r="R30" s="67"/>
      <c r="S30" s="68"/>
      <c r="T30" s="7"/>
      <c r="U30" s="69"/>
      <c r="V30" s="7"/>
      <c r="W30" s="7"/>
      <c r="X30" s="2"/>
      <c r="Y30" s="7"/>
      <c r="Z30" s="7"/>
      <c r="AA30" s="7"/>
      <c r="AB30" s="2"/>
      <c r="AC30" s="70"/>
      <c r="AD30" s="68"/>
      <c r="AE30" s="7"/>
      <c r="AF30" s="69"/>
      <c r="AG30" s="7"/>
      <c r="AH30" s="7"/>
      <c r="AI30" s="2"/>
      <c r="AJ30" s="7"/>
    </row>
    <row r="31" spans="1:36" x14ac:dyDescent="0.25">
      <c r="A31" s="1"/>
      <c r="B31" s="2"/>
      <c r="C31" s="63"/>
      <c r="D31" s="64"/>
      <c r="E31" s="65"/>
      <c r="F31" s="66"/>
      <c r="G31" s="67"/>
      <c r="H31" s="68"/>
      <c r="I31" s="63"/>
      <c r="J31" s="69"/>
      <c r="K31" s="7"/>
      <c r="L31" s="7"/>
      <c r="M31" s="2"/>
      <c r="N31" s="7"/>
      <c r="O31" s="7"/>
      <c r="P31" s="7"/>
      <c r="Q31" s="2"/>
      <c r="R31" s="67"/>
      <c r="S31" s="68"/>
      <c r="T31" s="7"/>
      <c r="U31" s="69"/>
      <c r="V31" s="7"/>
      <c r="W31" s="7"/>
      <c r="X31" s="2"/>
      <c r="Y31" s="7"/>
      <c r="Z31" s="7"/>
      <c r="AA31" s="7"/>
      <c r="AB31" s="2"/>
      <c r="AC31" s="70"/>
      <c r="AD31" s="68"/>
      <c r="AE31" s="7"/>
      <c r="AF31" s="69"/>
      <c r="AG31" s="7"/>
      <c r="AH31" s="7"/>
      <c r="AI31" s="2"/>
      <c r="AJ31" s="7"/>
    </row>
    <row r="32" spans="1:36" x14ac:dyDescent="0.25">
      <c r="A32" s="1"/>
      <c r="B32" s="2"/>
      <c r="C32" s="63"/>
      <c r="D32" s="64"/>
      <c r="E32" s="65"/>
      <c r="F32" s="66"/>
      <c r="G32" s="67"/>
      <c r="H32" s="68"/>
      <c r="I32" s="63"/>
      <c r="J32" s="69"/>
      <c r="K32" s="7"/>
      <c r="L32" s="7"/>
      <c r="M32" s="2"/>
      <c r="N32" s="7"/>
      <c r="O32" s="7"/>
      <c r="P32" s="7"/>
      <c r="Q32" s="2"/>
      <c r="R32" s="67"/>
      <c r="S32" s="68"/>
      <c r="T32" s="7"/>
      <c r="U32" s="69"/>
      <c r="V32" s="7"/>
      <c r="W32" s="7"/>
      <c r="X32" s="2"/>
      <c r="Y32" s="7"/>
      <c r="Z32" s="7"/>
      <c r="AA32" s="7"/>
      <c r="AB32" s="2"/>
      <c r="AC32" s="70"/>
      <c r="AD32" s="68"/>
      <c r="AE32" s="7"/>
      <c r="AF32" s="69"/>
      <c r="AG32" s="7"/>
      <c r="AH32" s="7"/>
      <c r="AI32" s="2"/>
      <c r="AJ32" s="7"/>
    </row>
  </sheetData>
  <hyperlinks>
    <hyperlink ref="T5" r:id="rId1"/>
    <hyperlink ref="T6" r:id="rId2"/>
    <hyperlink ref="T7" r:id="rId3"/>
    <hyperlink ref="T8" r:id="rId4"/>
    <hyperlink ref="T9" r:id="rId5"/>
    <hyperlink ref="T12" r:id="rId6"/>
    <hyperlink ref="T14" r:id="rId7"/>
    <hyperlink ref="T13" r:id="rId8"/>
    <hyperlink ref="T11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Smith Data</vt:lpstr>
      <vt:lpstr>Smith Import</vt:lpstr>
      <vt:lpstr>Smith</vt:lpstr>
      <vt:lpstr>Sheet1</vt:lpstr>
      <vt:lpstr>Scrap Values</vt:lpstr>
      <vt:lpstr>Smith!Print_Area</vt:lpstr>
      <vt:lpstr>'Smith Data'!Print_Area</vt:lpstr>
      <vt:lpstr>Smith!Print_Titles</vt:lpstr>
      <vt:lpstr>'Smith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bastim</dc:creator>
  <cp:lastModifiedBy>Richard Cornelius</cp:lastModifiedBy>
  <dcterms:created xsi:type="dcterms:W3CDTF">2014-05-01T12:31:08Z</dcterms:created>
  <dcterms:modified xsi:type="dcterms:W3CDTF">2016-04-21T13:21:36Z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-1864695112</vt:i4>
  </property>
  <property fmtid="{D5CDD505-2E9C-101B-9397-08002B2CF9AE}" pid="3" name="_NewReviewCycle">
    <vt:lpwstr/>
  </property>
  <property fmtid="{D5CDD505-2E9C-101B-9397-08002B2CF9AE}" pid="4" name="_EmailSubject">
    <vt:lpwstr>Docket No. 160170 Depreciation &amp; Dismantlement 3 of 4</vt:lpwstr>
  </property>
  <property fmtid="{D5CDD505-2E9C-101B-9397-08002B2CF9AE}" pid="5" name="_AuthorEmail">
    <vt:lpwstr>MBROADWA@SOUTHERNCO.COM</vt:lpwstr>
  </property>
  <property fmtid="{D5CDD505-2E9C-101B-9397-08002B2CF9AE}" pid="6" name="_AuthorEmailDisplayName">
    <vt:lpwstr>Broadway, Mike</vt:lpwstr>
  </property>
</Properties>
</file>