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22995" windowHeight="9105" activeTab="3"/>
  </bookViews>
  <sheets>
    <sheet name="E 2 (water)" sheetId="20" r:id="rId1"/>
    <sheet name="COVER" sheetId="23" r:id="rId2"/>
    <sheet name="Contents" sheetId="25" r:id="rId3"/>
    <sheet name="Water Rate Design" sheetId="17" r:id="rId4"/>
    <sheet name="W-Revenue Summary" sheetId="16" r:id="rId5"/>
    <sheet name="W-Bills Summary" sheetId="15" r:id="rId6"/>
    <sheet name="W-Usage Summary" sheetId="14" r:id="rId7"/>
    <sheet name="W-Rate Summary" sheetId="13" r:id="rId8"/>
    <sheet name="RepressionWP-Sanlando" sheetId="21" r:id="rId9"/>
    <sheet name="RepressionWP-LUSI" sheetId="22" r:id="rId10"/>
    <sheet name="Cypress(w)" sheetId="1" r:id="rId11"/>
    <sheet name="Labrador(w)" sheetId="2" r:id="rId12"/>
    <sheet name="LakePlacid(w)" sheetId="3" r:id="rId13"/>
    <sheet name="LUSI(w)" sheetId="4" r:id="rId14"/>
    <sheet name="Pennbrooke(w)" sheetId="5" r:id="rId15"/>
    <sheet name="Sanlando(w)" sheetId="6" r:id="rId16"/>
    <sheet name="UIF-Marion(w)" sheetId="7" r:id="rId17"/>
    <sheet name="UIF-Orange(w)" sheetId="8" r:id="rId18"/>
    <sheet name="UIF-Pasco-Orangewood(w)" sheetId="9" r:id="rId19"/>
    <sheet name="UIF-Pasco-Summertree(w)" sheetId="10" r:id="rId20"/>
    <sheet name="UIF-Pinellas(w)" sheetId="11" r:id="rId21"/>
    <sheet name="UIF-Seminole(w)" sheetId="12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D" localSheetId="9">#REF!</definedName>
    <definedName name="\D">#REF!</definedName>
    <definedName name="\G" localSheetId="9">#REF!</definedName>
    <definedName name="\G">#REF!</definedName>
    <definedName name="\P" localSheetId="0">#REF!</definedName>
    <definedName name="\P" localSheetId="9">#REF!</definedName>
    <definedName name="\P" localSheetId="8">#REF!</definedName>
    <definedName name="\P">[1]Macros!#REF!</definedName>
    <definedName name="\Q" localSheetId="9">[1]Macros!#REF!</definedName>
    <definedName name="\Q">[1]Macros!#REF!</definedName>
    <definedName name="\S" localSheetId="9">#REF!</definedName>
    <definedName name="\S">#REF!</definedName>
    <definedName name="___________pri0061" localSheetId="9">#REF!</definedName>
    <definedName name="___________pri0061">#REF!</definedName>
    <definedName name="___________pri0062" localSheetId="9">'[2]F-1'!#REF!</definedName>
    <definedName name="___________pri0062">'[2]F-1'!#REF!</definedName>
    <definedName name="___________pri0065" localSheetId="9">'[2]F-1'!#REF!</definedName>
    <definedName name="___________pri0065">'[2]F-1'!#REF!</definedName>
    <definedName name="___________pri0066" localSheetId="9">'[2]F-1'!#REF!</definedName>
    <definedName name="___________pri0066">'[2]F-1'!#REF!</definedName>
    <definedName name="___________pri0067" localSheetId="9">'[2]F-1'!#REF!</definedName>
    <definedName name="___________pri0067">'[2]F-1'!#REF!</definedName>
    <definedName name="___________pri0068" localSheetId="9">'[2]F-1'!#REF!</definedName>
    <definedName name="___________pri0068">'[2]F-1'!#REF!</definedName>
    <definedName name="__________pri0061" localSheetId="9">#REF!</definedName>
    <definedName name="__________pri0061">#REF!</definedName>
    <definedName name="__________pri0062" localSheetId="9">#REF!</definedName>
    <definedName name="__________pri0062">#REF!</definedName>
    <definedName name="__________pri0065" localSheetId="9">#REF!</definedName>
    <definedName name="__________pri0065">#REF!</definedName>
    <definedName name="__________pri0066" localSheetId="9">#REF!</definedName>
    <definedName name="__________pri0066">#REF!</definedName>
    <definedName name="__________pri0067" localSheetId="9">#REF!</definedName>
    <definedName name="__________pri0067">#REF!</definedName>
    <definedName name="__________pri0068" localSheetId="9">#REF!</definedName>
    <definedName name="__________pri0068">#REF!</definedName>
    <definedName name="_____pg1">'[3]A 7'!$D$4</definedName>
    <definedName name="_____TY2" localSheetId="9">[3]Macros!#REF!</definedName>
    <definedName name="_____TY2">[3]Macros!#REF!</definedName>
    <definedName name="____pg1">'[4]A 7'!$D$4</definedName>
    <definedName name="____pri0004" localSheetId="9">#REF!</definedName>
    <definedName name="____pri0004">#REF!</definedName>
    <definedName name="____pri0005" localSheetId="9">#REF!</definedName>
    <definedName name="____pri0005">#REF!</definedName>
    <definedName name="____pri0006" localSheetId="9">#REF!</definedName>
    <definedName name="____pri0006">#REF!</definedName>
    <definedName name="____pri0007" localSheetId="9">#REF!</definedName>
    <definedName name="____pri0007">#REF!</definedName>
    <definedName name="____pri0008" localSheetId="9">#REF!</definedName>
    <definedName name="____pri0008">#REF!</definedName>
    <definedName name="____pri0009" localSheetId="9">#REF!</definedName>
    <definedName name="____pri0009">#REF!</definedName>
    <definedName name="____pri0010" localSheetId="9">#REF!</definedName>
    <definedName name="____pri0010">#REF!</definedName>
    <definedName name="____pri0011" localSheetId="9">#REF!</definedName>
    <definedName name="____pri0011">#REF!</definedName>
    <definedName name="____pri0012" localSheetId="9">#REF!</definedName>
    <definedName name="____pri0012">#REF!</definedName>
    <definedName name="____pri0013" localSheetId="9">#REF!</definedName>
    <definedName name="____pri0013">#REF!</definedName>
    <definedName name="____pri0014" localSheetId="9">#REF!</definedName>
    <definedName name="____pri0014">#REF!</definedName>
    <definedName name="____pri0015" localSheetId="9">#REF!</definedName>
    <definedName name="____pri0015">#REF!</definedName>
    <definedName name="____pri0016" localSheetId="9">#REF!</definedName>
    <definedName name="____pri0016">#REF!</definedName>
    <definedName name="____pri0017" localSheetId="9">#REF!</definedName>
    <definedName name="____pri0017">#REF!</definedName>
    <definedName name="____pri0018" localSheetId="9">#REF!</definedName>
    <definedName name="____pri0018">#REF!</definedName>
    <definedName name="____pri0019" localSheetId="9">#REF!</definedName>
    <definedName name="____pri0019">#REF!</definedName>
    <definedName name="____pri0061" localSheetId="9">#REF!</definedName>
    <definedName name="____pri0061">#REF!</definedName>
    <definedName name="____pri0062" localSheetId="9">#REF!</definedName>
    <definedName name="____pri0062">#REF!</definedName>
    <definedName name="____pri0065" localSheetId="9">#REF!</definedName>
    <definedName name="____pri0065">#REF!</definedName>
    <definedName name="____pri0066" localSheetId="9">#REF!</definedName>
    <definedName name="____pri0066">#REF!</definedName>
    <definedName name="____pri0067" localSheetId="9">#REF!</definedName>
    <definedName name="____pri0067">#REF!</definedName>
    <definedName name="____pri0068" localSheetId="9">#REF!</definedName>
    <definedName name="____pri0068">#REF!</definedName>
    <definedName name="____TY2" localSheetId="9">[4]Macros!#REF!</definedName>
    <definedName name="____TY2">[4]Macros!#REF!</definedName>
    <definedName name="___pg1">'[5]A 7'!$D$4</definedName>
    <definedName name="___pri0004" localSheetId="9">#REF!</definedName>
    <definedName name="___pri0004">#REF!</definedName>
    <definedName name="___pri0005" localSheetId="9">#REF!</definedName>
    <definedName name="___pri0005">#REF!</definedName>
    <definedName name="___pri0006" localSheetId="9">#REF!</definedName>
    <definedName name="___pri0006">#REF!</definedName>
    <definedName name="___pri0007" localSheetId="9">#REF!</definedName>
    <definedName name="___pri0007">#REF!</definedName>
    <definedName name="___pri0008" localSheetId="9">#REF!</definedName>
    <definedName name="___pri0008">#REF!</definedName>
    <definedName name="___pri0009" localSheetId="9">#REF!</definedName>
    <definedName name="___pri0009">#REF!</definedName>
    <definedName name="___pri0010" localSheetId="9">#REF!</definedName>
    <definedName name="___pri0010">#REF!</definedName>
    <definedName name="___pri0011" localSheetId="9">#REF!</definedName>
    <definedName name="___pri0011">#REF!</definedName>
    <definedName name="___pri0012" localSheetId="9">#REF!</definedName>
    <definedName name="___pri0012">#REF!</definedName>
    <definedName name="___pri0013" localSheetId="9">#REF!</definedName>
    <definedName name="___pri0013">#REF!</definedName>
    <definedName name="___pri0014" localSheetId="9">#REF!</definedName>
    <definedName name="___pri0014">#REF!</definedName>
    <definedName name="___pri0015" localSheetId="9">#REF!</definedName>
    <definedName name="___pri0015">#REF!</definedName>
    <definedName name="___pri0016" localSheetId="9">#REF!</definedName>
    <definedName name="___pri0016">#REF!</definedName>
    <definedName name="___pri0017" localSheetId="9">#REF!</definedName>
    <definedName name="___pri0017">#REF!</definedName>
    <definedName name="___pri0018" localSheetId="9">#REF!</definedName>
    <definedName name="___pri0018">#REF!</definedName>
    <definedName name="___pri0019" localSheetId="9">#REF!</definedName>
    <definedName name="___pri0019">#REF!</definedName>
    <definedName name="___pri0061" localSheetId="9">#REF!</definedName>
    <definedName name="___pri0061">#REF!</definedName>
    <definedName name="___pri0062" localSheetId="9">#REF!</definedName>
    <definedName name="___pri0062">#REF!</definedName>
    <definedName name="___pri0065" localSheetId="9">#REF!</definedName>
    <definedName name="___pri0065">#REF!</definedName>
    <definedName name="___pri0066" localSheetId="9">#REF!</definedName>
    <definedName name="___pri0066">#REF!</definedName>
    <definedName name="___pri0067" localSheetId="9">#REF!</definedName>
    <definedName name="___pri0067">#REF!</definedName>
    <definedName name="___pri0068" localSheetId="9">#REF!</definedName>
    <definedName name="___pri0068">#REF!</definedName>
    <definedName name="___TY2" localSheetId="9">[4]Macros!#REF!</definedName>
    <definedName name="___TY2">[4]Macros!#REF!</definedName>
    <definedName name="__pg1">'[4]A 7'!$D$4</definedName>
    <definedName name="__pri0004" localSheetId="9">#REF!</definedName>
    <definedName name="__pri0004">#REF!</definedName>
    <definedName name="__pri0005" localSheetId="9">#REF!</definedName>
    <definedName name="__pri0005">#REF!</definedName>
    <definedName name="__pri0006" localSheetId="9">#REF!</definedName>
    <definedName name="__pri0006">#REF!</definedName>
    <definedName name="__pri0007" localSheetId="9">#REF!</definedName>
    <definedName name="__pri0007">#REF!</definedName>
    <definedName name="__pri0008" localSheetId="9">#REF!</definedName>
    <definedName name="__pri0008">#REF!</definedName>
    <definedName name="__pri0009" localSheetId="9">#REF!</definedName>
    <definedName name="__pri0009">#REF!</definedName>
    <definedName name="__pri0010" localSheetId="9">#REF!</definedName>
    <definedName name="__pri0010">#REF!</definedName>
    <definedName name="__pri0011" localSheetId="9">#REF!</definedName>
    <definedName name="__pri0011">#REF!</definedName>
    <definedName name="__pri0012" localSheetId="9">#REF!</definedName>
    <definedName name="__pri0012">#REF!</definedName>
    <definedName name="__pri0013" localSheetId="9">#REF!</definedName>
    <definedName name="__pri0013">#REF!</definedName>
    <definedName name="__pri0014" localSheetId="9">#REF!</definedName>
    <definedName name="__pri0014">#REF!</definedName>
    <definedName name="__pri0015" localSheetId="9">#REF!</definedName>
    <definedName name="__pri0015">#REF!</definedName>
    <definedName name="__pri0016" localSheetId="9">#REF!</definedName>
    <definedName name="__pri0016">#REF!</definedName>
    <definedName name="__pri0017" localSheetId="9">#REF!</definedName>
    <definedName name="__pri0017">#REF!</definedName>
    <definedName name="__pri0018" localSheetId="9">#REF!</definedName>
    <definedName name="__pri0018">#REF!</definedName>
    <definedName name="__pri0019" localSheetId="9">#REF!</definedName>
    <definedName name="__pri0019">#REF!</definedName>
    <definedName name="__pri0061" localSheetId="9">#REF!</definedName>
    <definedName name="__pri0061">#REF!</definedName>
    <definedName name="__pri0062" localSheetId="9">#REF!</definedName>
    <definedName name="__pri0062">#REF!</definedName>
    <definedName name="__pri0065" localSheetId="9">#REF!</definedName>
    <definedName name="__pri0065">#REF!</definedName>
    <definedName name="__pri0066" localSheetId="9">#REF!</definedName>
    <definedName name="__pri0066">#REF!</definedName>
    <definedName name="__pri0067" localSheetId="9">#REF!</definedName>
    <definedName name="__pri0067">#REF!</definedName>
    <definedName name="__pri0068" localSheetId="9">#REF!</definedName>
    <definedName name="__pri0068">#REF!</definedName>
    <definedName name="__TY2" localSheetId="9">[4]Macros!#REF!</definedName>
    <definedName name="__TY2">[4]Macros!#REF!</definedName>
    <definedName name="_10PG_15" localSheetId="9">#REF!</definedName>
    <definedName name="_10PG_15">#REF!</definedName>
    <definedName name="_12PG_16" localSheetId="9">#REF!</definedName>
    <definedName name="_12PG_16">#REF!</definedName>
    <definedName name="_14PG_17" localSheetId="9">#REF!</definedName>
    <definedName name="_14PG_17">#REF!</definedName>
    <definedName name="_16PG_2" localSheetId="9">#REF!</definedName>
    <definedName name="_16PG_2">#REF!</definedName>
    <definedName name="_18PG_3" localSheetId="9">#REF!</definedName>
    <definedName name="_18PG_3">#REF!</definedName>
    <definedName name="_1PLANT_W">[6]Plnt!$A$1</definedName>
    <definedName name="_20PG_4" localSheetId="9">#REF!</definedName>
    <definedName name="_20PG_4">#REF!</definedName>
    <definedName name="_22PG_5" localSheetId="9">#REF!</definedName>
    <definedName name="_22PG_5">#REF!</definedName>
    <definedName name="_24PG_6" localSheetId="9">#REF!</definedName>
    <definedName name="_24PG_6">#REF!</definedName>
    <definedName name="_26PG_7" localSheetId="9">#REF!</definedName>
    <definedName name="_26PG_7">#REF!</definedName>
    <definedName name="_28PG_8" localSheetId="9">#REF!</definedName>
    <definedName name="_28PG_8">#REF!</definedName>
    <definedName name="_2PG_1" localSheetId="9">#REF!</definedName>
    <definedName name="_2PG_1">#REF!</definedName>
    <definedName name="_2S_RATEAL" localSheetId="9">#REF!</definedName>
    <definedName name="_2S_RATEAL">#REF!</definedName>
    <definedName name="_30PG_9" localSheetId="9">#REF!</definedName>
    <definedName name="_30PG_9">#REF!</definedName>
    <definedName name="_3S_RATES" localSheetId="9">#REF!</definedName>
    <definedName name="_3S_RATES">#REF!</definedName>
    <definedName name="_4PG_10" localSheetId="9">#REF!</definedName>
    <definedName name="_4PG_10">#REF!</definedName>
    <definedName name="_4W_RATEAL" localSheetId="9">#REF!</definedName>
    <definedName name="_4W_RATEAL">#REF!</definedName>
    <definedName name="_6PG_13" localSheetId="9">#REF!</definedName>
    <definedName name="_6PG_13">#REF!</definedName>
    <definedName name="_8PG_14" localSheetId="9">#REF!</definedName>
    <definedName name="_8PG_14">#REF!</definedName>
    <definedName name="_pg_1">'[7]A 7'!$C$4</definedName>
    <definedName name="_pg1">'[1]A 7'!$C$4</definedName>
    <definedName name="_pri0004" localSheetId="9">#REF!</definedName>
    <definedName name="_pri0004">#REF!</definedName>
    <definedName name="_pri0005" localSheetId="9">#REF!</definedName>
    <definedName name="_pri0005">#REF!</definedName>
    <definedName name="_pri0006" localSheetId="9">#REF!</definedName>
    <definedName name="_pri0006">#REF!</definedName>
    <definedName name="_pri0007" localSheetId="9">#REF!</definedName>
    <definedName name="_pri0007">#REF!</definedName>
    <definedName name="_pri0008" localSheetId="9">#REF!</definedName>
    <definedName name="_pri0008">#REF!</definedName>
    <definedName name="_pri0009" localSheetId="9">#REF!</definedName>
    <definedName name="_pri0009">#REF!</definedName>
    <definedName name="_pri0010" localSheetId="9">#REF!</definedName>
    <definedName name="_pri0010">#REF!</definedName>
    <definedName name="_pri0011" localSheetId="9">#REF!</definedName>
    <definedName name="_pri0011">#REF!</definedName>
    <definedName name="_pri0012" localSheetId="9">#REF!</definedName>
    <definedName name="_pri0012">#REF!</definedName>
    <definedName name="_pri0013" localSheetId="9">#REF!</definedName>
    <definedName name="_pri0013">#REF!</definedName>
    <definedName name="_pri0014" localSheetId="9">#REF!</definedName>
    <definedName name="_pri0014">#REF!</definedName>
    <definedName name="_pri0015" localSheetId="9">#REF!</definedName>
    <definedName name="_pri0015">#REF!</definedName>
    <definedName name="_pri0016" localSheetId="9">#REF!</definedName>
    <definedName name="_pri0016">#REF!</definedName>
    <definedName name="_pri0017" localSheetId="9">#REF!</definedName>
    <definedName name="_pri0017">#REF!</definedName>
    <definedName name="_pri0018" localSheetId="9">#REF!</definedName>
    <definedName name="_pri0018">#REF!</definedName>
    <definedName name="_pri0019" localSheetId="9">#REF!</definedName>
    <definedName name="_pri0019">#REF!</definedName>
    <definedName name="_pri0061" localSheetId="9">#REF!</definedName>
    <definedName name="_pri0061">#REF!</definedName>
    <definedName name="_pri0062" localSheetId="9">#REF!</definedName>
    <definedName name="_pri0062">#REF!</definedName>
    <definedName name="_pri0065" localSheetId="9">#REF!</definedName>
    <definedName name="_pri0065">#REF!</definedName>
    <definedName name="_pri0066" localSheetId="9">#REF!</definedName>
    <definedName name="_pri0066">#REF!</definedName>
    <definedName name="_pri0067" localSheetId="9">#REF!</definedName>
    <definedName name="_pri0067">#REF!</definedName>
    <definedName name="_pri0068" localSheetId="9">#REF!</definedName>
    <definedName name="_pri0068">#REF!</definedName>
    <definedName name="_TY1">[1]Macros!$E$15</definedName>
    <definedName name="_TY2" localSheetId="9">[1]Macros!#REF!</definedName>
    <definedName name="_TY2">[1]Macros!#REF!</definedName>
    <definedName name="a" localSheetId="9">#REF!</definedName>
    <definedName name="a">#REF!</definedName>
    <definedName name="A_1" localSheetId="9">#REF!</definedName>
    <definedName name="A_1">#REF!</definedName>
    <definedName name="A_17" localSheetId="9">#REF!</definedName>
    <definedName name="A_17">#REF!</definedName>
    <definedName name="A_18" localSheetId="9">#REF!</definedName>
    <definedName name="A_18">#REF!</definedName>
    <definedName name="A_19" localSheetId="9">#REF!</definedName>
    <definedName name="A_19">#REF!</definedName>
    <definedName name="A_5" localSheetId="9">#REF!</definedName>
    <definedName name="A_5">#REF!</definedName>
    <definedName name="A_9" localSheetId="9">#REF!</definedName>
    <definedName name="A_9">#REF!</definedName>
    <definedName name="a10x" localSheetId="9">#REF!</definedName>
    <definedName name="a10x">#REF!</definedName>
    <definedName name="a11x" localSheetId="9">#REF!</definedName>
    <definedName name="a11x">#REF!</definedName>
    <definedName name="a12x" localSheetId="9">#REF!</definedName>
    <definedName name="a12x">#REF!</definedName>
    <definedName name="a13x" localSheetId="9">#REF!</definedName>
    <definedName name="a13x">#REF!</definedName>
    <definedName name="a14x" localSheetId="9">#REF!</definedName>
    <definedName name="a14x">#REF!</definedName>
    <definedName name="a15x" localSheetId="9">#REF!</definedName>
    <definedName name="a15x">#REF!</definedName>
    <definedName name="a16x" localSheetId="9">#REF!</definedName>
    <definedName name="a16x">#REF!</definedName>
    <definedName name="a17x" localSheetId="9">#REF!</definedName>
    <definedName name="a17x">#REF!</definedName>
    <definedName name="a18x" localSheetId="9">#REF!</definedName>
    <definedName name="a18x">#REF!</definedName>
    <definedName name="a19x" localSheetId="9">#REF!</definedName>
    <definedName name="a19x">#REF!</definedName>
    <definedName name="a1i" localSheetId="9">#REF!</definedName>
    <definedName name="a1i">#REF!</definedName>
    <definedName name="a1x" localSheetId="9">#REF!</definedName>
    <definedName name="a1x">#REF!</definedName>
    <definedName name="a2i" localSheetId="9">#REF!</definedName>
    <definedName name="a2i">#REF!</definedName>
    <definedName name="a2x" localSheetId="9">#REF!</definedName>
    <definedName name="a2x">#REF!</definedName>
    <definedName name="a3i" localSheetId="9">#REF!</definedName>
    <definedName name="a3i">#REF!</definedName>
    <definedName name="a3x" localSheetId="9">#REF!</definedName>
    <definedName name="a3x">#REF!</definedName>
    <definedName name="a4x" localSheetId="9">#REF!</definedName>
    <definedName name="a4x">#REF!</definedName>
    <definedName name="a5x" localSheetId="9">#REF!</definedName>
    <definedName name="a5x">#REF!</definedName>
    <definedName name="a6x" localSheetId="9">#REF!</definedName>
    <definedName name="a6x">#REF!</definedName>
    <definedName name="a7x" localSheetId="9">#REF!</definedName>
    <definedName name="a7x">#REF!</definedName>
    <definedName name="a8x" localSheetId="9">#REF!</definedName>
    <definedName name="a8x">#REF!</definedName>
    <definedName name="a9x" localSheetId="9">#REF!</definedName>
    <definedName name="a9x">#REF!</definedName>
    <definedName name="AccumDepr">[8]Data!$I$13:$J$131</definedName>
    <definedName name="AFUDC" localSheetId="9">#REF!</definedName>
    <definedName name="AFUDC">#REF!</definedName>
    <definedName name="AIAC">[8]Data!$O$13:$P$131</definedName>
    <definedName name="ANNAACIAC" localSheetId="9">#REF!</definedName>
    <definedName name="ANNAACIAC">#REF!</definedName>
    <definedName name="ANNAD" localSheetId="9">#REF!</definedName>
    <definedName name="ANNAD">#REF!</definedName>
    <definedName name="ANNAFC" localSheetId="9">#REF!</definedName>
    <definedName name="ANNAFC">#REF!</definedName>
    <definedName name="ANNCIAC" localSheetId="9">#REF!</definedName>
    <definedName name="ANNCIAC">#REF!</definedName>
    <definedName name="ANNPL" localSheetId="9">#REF!</definedName>
    <definedName name="ANNPL">#REF!</definedName>
    <definedName name="ARB" localSheetId="9">#REF!</definedName>
    <definedName name="ARB">#REF!</definedName>
    <definedName name="ASECT" localSheetId="9">[1]Macros!#REF!</definedName>
    <definedName name="ASECT">[1]Macros!#REF!</definedName>
    <definedName name="B_1" localSheetId="9">#REF!</definedName>
    <definedName name="B_1">#REF!</definedName>
    <definedName name="B_10" localSheetId="9">#REF!</definedName>
    <definedName name="B_10">#REF!</definedName>
    <definedName name="B_12" localSheetId="9">#REF!</definedName>
    <definedName name="B_12">#REF!</definedName>
    <definedName name="B_13" localSheetId="9">#REF!</definedName>
    <definedName name="B_13">#REF!</definedName>
    <definedName name="B_14" localSheetId="9">#REF!</definedName>
    <definedName name="B_14">#REF!</definedName>
    <definedName name="B_3" localSheetId="9">#REF!</definedName>
    <definedName name="B_3">#REF!</definedName>
    <definedName name="B_3A" localSheetId="9">#REF!</definedName>
    <definedName name="B_3A">#REF!</definedName>
    <definedName name="B_3B" localSheetId="9">#REF!</definedName>
    <definedName name="B_3B">#REF!</definedName>
    <definedName name="B_4" localSheetId="9">#REF!</definedName>
    <definedName name="B_4">#REF!</definedName>
    <definedName name="B_5" localSheetId="9">#REF!</definedName>
    <definedName name="B_5">#REF!</definedName>
    <definedName name="B_7" localSheetId="9">#REF!</definedName>
    <definedName name="B_7">#REF!</definedName>
    <definedName name="B_8" localSheetId="9">#REF!</definedName>
    <definedName name="B_8">#REF!</definedName>
    <definedName name="b10x" localSheetId="9">#REF!</definedName>
    <definedName name="b10x">#REF!</definedName>
    <definedName name="b11x" localSheetId="9">#REF!</definedName>
    <definedName name="b11x">#REF!</definedName>
    <definedName name="b12x" localSheetId="9">#REF!</definedName>
    <definedName name="b12x">#REF!</definedName>
    <definedName name="b13x" localSheetId="9">#REF!</definedName>
    <definedName name="b13x">#REF!</definedName>
    <definedName name="B14x" localSheetId="9">#REF!</definedName>
    <definedName name="B14x">#REF!</definedName>
    <definedName name="b15i" localSheetId="9">#REF!</definedName>
    <definedName name="b15i">#REF!</definedName>
    <definedName name="b15x" localSheetId="9">#REF!</definedName>
    <definedName name="b15x">#REF!</definedName>
    <definedName name="b1i" localSheetId="9">#REF!</definedName>
    <definedName name="b1i">#REF!</definedName>
    <definedName name="b1x" localSheetId="9">#REF!</definedName>
    <definedName name="b1x">#REF!</definedName>
    <definedName name="b2i" localSheetId="9">#REF!</definedName>
    <definedName name="b2i">#REF!</definedName>
    <definedName name="b2x" localSheetId="9">#REF!</definedName>
    <definedName name="b2x">#REF!</definedName>
    <definedName name="B3B">'[9]A1 OPERATING INCOME ADJUST'!$A$49:$P$97</definedName>
    <definedName name="b3i" localSheetId="9">#REF!</definedName>
    <definedName name="b3i">#REF!</definedName>
    <definedName name="B3R">'[9]A1 OPERATING INCOME ADJUST'!$A$1:$P$48</definedName>
    <definedName name="b3x" localSheetId="9">#REF!</definedName>
    <definedName name="b3x">#REF!</definedName>
    <definedName name="b4x" localSheetId="9">#REF!</definedName>
    <definedName name="b4x">#REF!</definedName>
    <definedName name="b5x" localSheetId="9">#REF!</definedName>
    <definedName name="b5x">#REF!</definedName>
    <definedName name="b6x" localSheetId="9">#REF!</definedName>
    <definedName name="b6x">#REF!</definedName>
    <definedName name="b7x" localSheetId="9">#REF!</definedName>
    <definedName name="b7x">#REF!</definedName>
    <definedName name="b8x" localSheetId="9">#REF!</definedName>
    <definedName name="b8x">#REF!</definedName>
    <definedName name="b9x" localSheetId="9">#REF!</definedName>
    <definedName name="b9x">#REF!</definedName>
    <definedName name="BALANCE" localSheetId="9">#REF!</definedName>
    <definedName name="BALANCE">#REF!</definedName>
    <definedName name="BSECT" localSheetId="9">[1]Macros!#REF!</definedName>
    <definedName name="BSECT">[1]Macros!#REF!</definedName>
    <definedName name="c_10x" localSheetId="9">#REF!</definedName>
    <definedName name="c_10x">#REF!</definedName>
    <definedName name="c_1i" localSheetId="9">#REF!</definedName>
    <definedName name="c_1i">#REF!</definedName>
    <definedName name="c_1x" localSheetId="9">#REF!</definedName>
    <definedName name="c_1x">#REF!</definedName>
    <definedName name="c_2i" localSheetId="9">#REF!</definedName>
    <definedName name="c_2i">#REF!</definedName>
    <definedName name="c_2x" localSheetId="9">#REF!</definedName>
    <definedName name="c_2x">#REF!</definedName>
    <definedName name="C_3" localSheetId="9">#REF!</definedName>
    <definedName name="C_3">#REF!</definedName>
    <definedName name="c_3x" localSheetId="9">#REF!</definedName>
    <definedName name="c_3x">#REF!</definedName>
    <definedName name="c_4x" localSheetId="9">#REF!</definedName>
    <definedName name="c_4x">#REF!</definedName>
    <definedName name="C_5" localSheetId="9">#REF!</definedName>
    <definedName name="C_5">#REF!</definedName>
    <definedName name="c_5i" localSheetId="9">#REF!</definedName>
    <definedName name="c_5i">#REF!</definedName>
    <definedName name="c_5x" localSheetId="9">#REF!</definedName>
    <definedName name="c_5x">#REF!</definedName>
    <definedName name="C_6" localSheetId="9">#REF!</definedName>
    <definedName name="C_6">#REF!</definedName>
    <definedName name="c_6x1" localSheetId="9">#REF!</definedName>
    <definedName name="c_6x1">#REF!</definedName>
    <definedName name="c_6x2" localSheetId="9">#REF!</definedName>
    <definedName name="c_6x2">#REF!</definedName>
    <definedName name="c_6x3" localSheetId="9">#REF!</definedName>
    <definedName name="c_6x3">#REF!</definedName>
    <definedName name="C_7A" localSheetId="9">#REF!</definedName>
    <definedName name="C_7A">#REF!</definedName>
    <definedName name="c_7x1" localSheetId="9">#REF!</definedName>
    <definedName name="c_7x1">#REF!</definedName>
    <definedName name="c_7x2" localSheetId="9">#REF!</definedName>
    <definedName name="c_7x2">#REF!</definedName>
    <definedName name="c_7x3" localSheetId="9">#REF!</definedName>
    <definedName name="c_7x3">#REF!</definedName>
    <definedName name="c_7x4" localSheetId="9">#REF!</definedName>
    <definedName name="c_7x4">#REF!</definedName>
    <definedName name="c_8x" localSheetId="9">#REF!</definedName>
    <definedName name="c_8x">#REF!</definedName>
    <definedName name="c_9x" localSheetId="9">#REF!</definedName>
    <definedName name="c_9x">#REF!</definedName>
    <definedName name="CIAC">[8]Data!$R$13:$S$131</definedName>
    <definedName name="CNC2.CE" localSheetId="9">'[10]Cust Eq Input'!#REF!</definedName>
    <definedName name="CNC2.CE">'[10]Cust Eq Input'!#REF!</definedName>
    <definedName name="CO__02" localSheetId="9">#REF!</definedName>
    <definedName name="CO__02">#REF!</definedName>
    <definedName name="COMPANY">[1]Macros!$E$4</definedName>
    <definedName name="CSECT" localSheetId="9">[1]Macros!#REF!</definedName>
    <definedName name="CSECT">[1]Macros!#REF!</definedName>
    <definedName name="CustomerDeposits">[8]Data!$AA$13:$AB$131</definedName>
    <definedName name="CWIP">[8]Data!$F$13:$G$131</definedName>
    <definedName name="CWS.CE" localSheetId="9">'[10]Cust Eq Input'!#REF!</definedName>
    <definedName name="CWS.CE">'[10]Cust Eq Input'!#REF!</definedName>
    <definedName name="D_1" localSheetId="9">#REF!</definedName>
    <definedName name="D_1">#REF!</definedName>
    <definedName name="D_2" localSheetId="9">#REF!</definedName>
    <definedName name="D_2">#REF!</definedName>
    <definedName name="D_3" localSheetId="9">#REF!</definedName>
    <definedName name="D_3">#REF!</definedName>
    <definedName name="D_4" localSheetId="9">#REF!</definedName>
    <definedName name="D_4">#REF!</definedName>
    <definedName name="D_5" localSheetId="9">#REF!</definedName>
    <definedName name="D_5">#REF!</definedName>
    <definedName name="D_6" localSheetId="9">#REF!</definedName>
    <definedName name="D_6">#REF!</definedName>
    <definedName name="D_7" localSheetId="9">#REF!</definedName>
    <definedName name="D_7">#REF!</definedName>
    <definedName name="D1I" localSheetId="9">#REF!</definedName>
    <definedName name="D1I">#REF!</definedName>
    <definedName name="d1x" localSheetId="9">#REF!</definedName>
    <definedName name="d1x">#REF!</definedName>
    <definedName name="d2i" localSheetId="9">#REF!</definedName>
    <definedName name="d2i">#REF!</definedName>
    <definedName name="D2x" localSheetId="9">#REF!</definedName>
    <definedName name="D2x">#REF!</definedName>
    <definedName name="D3x" localSheetId="9">#REF!</definedName>
    <definedName name="D3x">#REF!</definedName>
    <definedName name="D4x" localSheetId="9">#REF!</definedName>
    <definedName name="D4x">#REF!</definedName>
    <definedName name="D5x" localSheetId="9">#REF!</definedName>
    <definedName name="D5x">#REF!</definedName>
    <definedName name="D6x" localSheetId="9">#REF!</definedName>
    <definedName name="D6x">#REF!</definedName>
    <definedName name="D7x" localSheetId="9">#REF!</definedName>
    <definedName name="D7x">#REF!</definedName>
    <definedName name="DeferredCharges">[8]Data!$U$13:$V$131</definedName>
    <definedName name="DeferredIncomeTaxes">[8]Data!$X$13:$Y$131</definedName>
    <definedName name="DIR" localSheetId="9">#REF!</definedName>
    <definedName name="DIR">#REF!</definedName>
    <definedName name="DisallowedPAA">[8]Data!$CF$13:$CG$131</definedName>
    <definedName name="DOCKET">[1]Macros!$E$6</definedName>
    <definedName name="DSECT" localSheetId="9">[1]Macros!#REF!</definedName>
    <definedName name="DSECT">[1]Macros!#REF!</definedName>
    <definedName name="E_1" localSheetId="9">#REF!</definedName>
    <definedName name="E_1">#REF!</definedName>
    <definedName name="E_10" localSheetId="9">#REF!</definedName>
    <definedName name="E_10">#REF!</definedName>
    <definedName name="E_11" localSheetId="9">#REF!</definedName>
    <definedName name="E_11">#REF!</definedName>
    <definedName name="E_12" localSheetId="9">#REF!</definedName>
    <definedName name="E_12">#REF!</definedName>
    <definedName name="E_13" localSheetId="9">#REF!</definedName>
    <definedName name="E_13">#REF!</definedName>
    <definedName name="E_14" localSheetId="9">#REF!</definedName>
    <definedName name="E_14">#REF!</definedName>
    <definedName name="E_2" localSheetId="9">#REF!</definedName>
    <definedName name="E_2">#REF!</definedName>
    <definedName name="E_2A" localSheetId="9">#REF!</definedName>
    <definedName name="E_2A">#REF!</definedName>
    <definedName name="E_3" localSheetId="9">#REF!</definedName>
    <definedName name="E_3">#REF!</definedName>
    <definedName name="E_4" localSheetId="9">#REF!</definedName>
    <definedName name="E_4">#REF!</definedName>
    <definedName name="E_5" localSheetId="9">#REF!</definedName>
    <definedName name="E_5">#REF!</definedName>
    <definedName name="E_6" localSheetId="9">#REF!</definedName>
    <definedName name="E_6">#REF!</definedName>
    <definedName name="E_7" localSheetId="9">#REF!</definedName>
    <definedName name="E_7">#REF!</definedName>
    <definedName name="E_8" localSheetId="9">#REF!</definedName>
    <definedName name="E_8">#REF!</definedName>
    <definedName name="E_9" localSheetId="9">#REF!</definedName>
    <definedName name="E_9">#REF!</definedName>
    <definedName name="e10x1" localSheetId="9">#REF!</definedName>
    <definedName name="e10x1">#REF!</definedName>
    <definedName name="e10x2" localSheetId="9">#REF!</definedName>
    <definedName name="e10x2">#REF!</definedName>
    <definedName name="e11x" localSheetId="9">#REF!</definedName>
    <definedName name="e11x">#REF!</definedName>
    <definedName name="e12x" localSheetId="9">#REF!</definedName>
    <definedName name="e12x">#REF!</definedName>
    <definedName name="e13x" localSheetId="9">#REF!</definedName>
    <definedName name="e13x">#REF!</definedName>
    <definedName name="e14x" localSheetId="9">#REF!</definedName>
    <definedName name="e14x">#REF!</definedName>
    <definedName name="e1x" localSheetId="9">#REF!</definedName>
    <definedName name="e1x">#REF!</definedName>
    <definedName name="e1x2" localSheetId="9">#REF!</definedName>
    <definedName name="e1x2">#REF!</definedName>
    <definedName name="e2i" localSheetId="9">#REF!</definedName>
    <definedName name="e2i">#REF!</definedName>
    <definedName name="e2i2" localSheetId="9">#REF!</definedName>
    <definedName name="e2i2">#REF!</definedName>
    <definedName name="e2x" localSheetId="9">#REF!</definedName>
    <definedName name="e2x">#REF!</definedName>
    <definedName name="e2x2" localSheetId="9">#REF!</definedName>
    <definedName name="e2x2">#REF!</definedName>
    <definedName name="E3s" localSheetId="9">#REF!</definedName>
    <definedName name="E3s">#REF!</definedName>
    <definedName name="E3w" localSheetId="9">#REF!</definedName>
    <definedName name="E3w">#REF!</definedName>
    <definedName name="e3x" localSheetId="9">#REF!</definedName>
    <definedName name="e3x">#REF!</definedName>
    <definedName name="e4x" localSheetId="9">#REF!</definedName>
    <definedName name="e4x">#REF!</definedName>
    <definedName name="e5x" localSheetId="9">#REF!</definedName>
    <definedName name="e5x">#REF!</definedName>
    <definedName name="e6x" localSheetId="9">#REF!</definedName>
    <definedName name="e6x">#REF!</definedName>
    <definedName name="e7x" localSheetId="9">#REF!</definedName>
    <definedName name="e7x">#REF!</definedName>
    <definedName name="e8x" localSheetId="9">#REF!</definedName>
    <definedName name="e8x">#REF!</definedName>
    <definedName name="e9x" localSheetId="9">#REF!</definedName>
    <definedName name="e9x">#REF!</definedName>
    <definedName name="ERC_S" localSheetId="9">#REF!</definedName>
    <definedName name="ERC_S">#REF!</definedName>
    <definedName name="ERC_W" localSheetId="9">#REF!</definedName>
    <definedName name="ERC_W">#REF!</definedName>
    <definedName name="ESECT" localSheetId="9">[1]Macros!#REF!</definedName>
    <definedName name="ESECT">[1]Macros!#REF!</definedName>
    <definedName name="F_1" localSheetId="9">#REF!</definedName>
    <definedName name="F_1">#REF!</definedName>
    <definedName name="F_10" localSheetId="9">#REF!</definedName>
    <definedName name="F_10">#REF!</definedName>
    <definedName name="F_1A" localSheetId="9">#REF!</definedName>
    <definedName name="F_1A">#REF!</definedName>
    <definedName name="F_2" localSheetId="9">#REF!</definedName>
    <definedName name="F_2">#REF!</definedName>
    <definedName name="F_3" localSheetId="9">#REF!</definedName>
    <definedName name="F_3">#REF!</definedName>
    <definedName name="F_4" localSheetId="9">#REF!</definedName>
    <definedName name="F_4">#REF!</definedName>
    <definedName name="F_5" localSheetId="9">#REF!</definedName>
    <definedName name="F_5">#REF!</definedName>
    <definedName name="F_6" localSheetId="9">#REF!</definedName>
    <definedName name="F_6">#REF!</definedName>
    <definedName name="F_7" localSheetId="9">#REF!</definedName>
    <definedName name="F_7">#REF!</definedName>
    <definedName name="F_8" localSheetId="9">#REF!</definedName>
    <definedName name="F_8">#REF!</definedName>
    <definedName name="F_9" localSheetId="9">#REF!</definedName>
    <definedName name="F_9">#REF!</definedName>
    <definedName name="f10x" localSheetId="9">#REF!</definedName>
    <definedName name="f10x">#REF!</definedName>
    <definedName name="f1x" localSheetId="9">#REF!</definedName>
    <definedName name="f1x">#REF!</definedName>
    <definedName name="f2x" localSheetId="9">#REF!</definedName>
    <definedName name="f2x">#REF!</definedName>
    <definedName name="f3x" localSheetId="9">#REF!</definedName>
    <definedName name="f3x">#REF!</definedName>
    <definedName name="f4x" localSheetId="9">#REF!</definedName>
    <definedName name="f4x">#REF!</definedName>
    <definedName name="f5x" localSheetId="9">#REF!</definedName>
    <definedName name="f5x">#REF!</definedName>
    <definedName name="f6x" localSheetId="9">#REF!</definedName>
    <definedName name="f6x">#REF!</definedName>
    <definedName name="f7x" localSheetId="9">#REF!</definedName>
    <definedName name="f7x">#REF!</definedName>
    <definedName name="f8x" localSheetId="9">#REF!</definedName>
    <definedName name="f8x">#REF!</definedName>
    <definedName name="f9x" localSheetId="9">#REF!</definedName>
    <definedName name="f9x">#REF!</definedName>
    <definedName name="Finance__WSC.Work.Papers.WSC.Other.Prepayments" localSheetId="9">#REF!</definedName>
    <definedName name="Finance__WSC.Work.Papers.WSC.Other.Prepayments">#REF!</definedName>
    <definedName name="FL.1" localSheetId="9">#REF!</definedName>
    <definedName name="FL.1">#REF!</definedName>
    <definedName name="FL.3" localSheetId="9">#REF!</definedName>
    <definedName name="FL.3">#REF!</definedName>
    <definedName name="FL.5" localSheetId="9">#REF!</definedName>
    <definedName name="FL.5">#REF!</definedName>
    <definedName name="FSECT" localSheetId="9">[1]Macros!#REF!</definedName>
    <definedName name="FSECT">[1]Macros!#REF!</definedName>
    <definedName name="GA.1" localSheetId="9">#REF!</definedName>
    <definedName name="GA.1">#REF!</definedName>
    <definedName name="GA.3" localSheetId="9">#REF!</definedName>
    <definedName name="GA.3">#REF!</definedName>
    <definedName name="GA.5" localSheetId="9">#REF!</definedName>
    <definedName name="GA.5">#REF!</definedName>
    <definedName name="GEN" localSheetId="9">[1]Macros!#REF!</definedName>
    <definedName name="GEN">[1]Macros!#REF!</definedName>
    <definedName name="i" localSheetId="9">#REF!</definedName>
    <definedName name="i">#REF!</definedName>
    <definedName name="ii" localSheetId="9">#REF!</definedName>
    <definedName name="ii">#REF!</definedName>
    <definedName name="iii" localSheetId="9">#REF!</definedName>
    <definedName name="iii">#REF!</definedName>
    <definedName name="iiii" localSheetId="9">#REF!</definedName>
    <definedName name="iiii">#REF!</definedName>
    <definedName name="IL.1" localSheetId="9">#REF!</definedName>
    <definedName name="IL.1">#REF!</definedName>
    <definedName name="IL.3" localSheetId="9">#REF!</definedName>
    <definedName name="IL.3">#REF!</definedName>
    <definedName name="IL.5" localSheetId="9">#REF!</definedName>
    <definedName name="IL.5">#REF!</definedName>
    <definedName name="IN.3" localSheetId="9">#REF!</definedName>
    <definedName name="IN.3">#REF!</definedName>
    <definedName name="IN.5" localSheetId="9">#REF!</definedName>
    <definedName name="IN.5">#REF!</definedName>
    <definedName name="INST" localSheetId="9">#REF!</definedName>
    <definedName name="INST">#REF!</definedName>
    <definedName name="kdsjdfh">[11]Macros!$E$6</definedName>
    <definedName name="LA.1" localSheetId="9">#REF!</definedName>
    <definedName name="LA.1">#REF!</definedName>
    <definedName name="LA.3" localSheetId="9">#REF!</definedName>
    <definedName name="LA.3">#REF!</definedName>
    <definedName name="LA.5" localSheetId="9">#REF!</definedName>
    <definedName name="LA.5">#REF!</definedName>
    <definedName name="LEXINGTON" localSheetId="9">#REF!</definedName>
    <definedName name="LEXINGTON">#REF!</definedName>
    <definedName name="MARGIN" localSheetId="9">#REF!</definedName>
    <definedName name="MARGIN">#REF!</definedName>
    <definedName name="MD.1" localSheetId="9">#REF!</definedName>
    <definedName name="MD.1">#REF!</definedName>
    <definedName name="MD.3" localSheetId="9">#REF!</definedName>
    <definedName name="MD.3">#REF!</definedName>
    <definedName name="MD.5" localSheetId="9">#REF!</definedName>
    <definedName name="MD.5">#REF!</definedName>
    <definedName name="MS.1" localSheetId="9">#REF!</definedName>
    <definedName name="MS.1">#REF!</definedName>
    <definedName name="MS.3" localSheetId="9">#REF!</definedName>
    <definedName name="MS.3">#REF!</definedName>
    <definedName name="MS.5" localSheetId="9">#REF!</definedName>
    <definedName name="MS.5">#REF!</definedName>
    <definedName name="NAME">[6]INFO!$D$14</definedName>
    <definedName name="NC.1" localSheetId="9">#REF!</definedName>
    <definedName name="NC.1">#REF!</definedName>
    <definedName name="NC.3" localSheetId="9">#REF!</definedName>
    <definedName name="NC.3">#REF!</definedName>
    <definedName name="NC.5" localSheetId="9">#REF!</definedName>
    <definedName name="NC.5">#REF!</definedName>
    <definedName name="OCC.CE" localSheetId="9">'[10]Cust Eq Input'!#REF!</definedName>
    <definedName name="OCC.CE">'[10]Cust Eq Input'!#REF!</definedName>
    <definedName name="OH.1" localSheetId="9">#REF!</definedName>
    <definedName name="OH.1">#REF!</definedName>
    <definedName name="OH.3" localSheetId="9">#REF!</definedName>
    <definedName name="OH.3">#REF!</definedName>
    <definedName name="OH.5" localSheetId="9">#REF!</definedName>
    <definedName name="OH.5">#REF!</definedName>
    <definedName name="OH.CE" localSheetId="9">'[10]Cust Eq Input'!#REF!</definedName>
    <definedName name="OH.CE">'[10]Cust Eq Input'!#REF!</definedName>
    <definedName name="OH.CEP" localSheetId="9">'[10]Cust Eq Input'!#REF!</definedName>
    <definedName name="OH.CEP">'[10]Cust Eq Input'!#REF!</definedName>
    <definedName name="PAA">[8]Data!$L$13:$M$131</definedName>
    <definedName name="Plant">[8]Data!$C$13:$D$131</definedName>
    <definedName name="_xlnm.Print_Area" localSheetId="0">'E 2 (water)'!$A$1:$L$76</definedName>
    <definedName name="_xlnm.Print_Area" localSheetId="12">'LakePlacid(w)'!$A$1:$M$47</definedName>
    <definedName name="_xlnm.Print_Area" localSheetId="13">'LUSI(w)'!$A$1:$S$53</definedName>
    <definedName name="_xlnm.Print_Area" localSheetId="9">'RepressionWP-LUSI'!$A$1:$Q$36</definedName>
    <definedName name="_xlnm.Print_Area" localSheetId="8">'RepressionWP-Sanlando'!$A$1:$Q$36</definedName>
    <definedName name="_xlnm.Print_Area" localSheetId="3">'Water Rate Design'!$A$1:$K$53</definedName>
    <definedName name="_xlnm.Print_Area" localSheetId="5">'W-Bills Summary'!$A$1:$AA$51</definedName>
    <definedName name="_xlnm.Print_Area" localSheetId="7">'W-Rate Summary'!$A$1:$AA$48</definedName>
    <definedName name="_xlnm.Print_Area" localSheetId="4">'W-Revenue Summary'!$A$1:$AB$62</definedName>
    <definedName name="_xlnm.Print_Area" localSheetId="6">'W-Usage Summary'!$A$1:$AQ$33</definedName>
    <definedName name="PUMPED" localSheetId="0">#REF!</definedName>
    <definedName name="PUMPED" localSheetId="9">#REF!</definedName>
    <definedName name="PUMPED">#REF!</definedName>
    <definedName name="S_STATS" localSheetId="9">#REF!</definedName>
    <definedName name="S_STATS">#REF!</definedName>
    <definedName name="SADPRIM" localSheetId="9">#REF!</definedName>
    <definedName name="SADPRIM">#REF!</definedName>
    <definedName name="SC.1" localSheetId="9">#REF!</definedName>
    <definedName name="SC.1">#REF!</definedName>
    <definedName name="SC.3" localSheetId="9">#REF!</definedName>
    <definedName name="SC.3">#REF!</definedName>
    <definedName name="SC.5" localSheetId="9">#REF!</definedName>
    <definedName name="SC.5">#REF!</definedName>
    <definedName name="SCU.CE" localSheetId="9">'[10]Cust Eq Input'!#REF!</definedName>
    <definedName name="SCU.CE">'[10]Cust Eq Input'!#REF!</definedName>
    <definedName name="SE.SE60D.ALLOC." localSheetId="9">#REF!</definedName>
    <definedName name="SE.SE60D.ALLOC.">#REF!</definedName>
    <definedName name="SPPRIM" localSheetId="9">#REF!</definedName>
    <definedName name="SPPRIM">#REF!</definedName>
    <definedName name="SRB" localSheetId="9">#REF!</definedName>
    <definedName name="SRB">#REF!</definedName>
    <definedName name="SUMU_U" localSheetId="9">#REF!</definedName>
    <definedName name="SUMU_U">#REF!</definedName>
    <definedName name="test" localSheetId="9">#REF!</definedName>
    <definedName name="test">#REF!</definedName>
    <definedName name="TN.1" localSheetId="9">#REF!</definedName>
    <definedName name="TN.1">#REF!</definedName>
    <definedName name="TN.3" localSheetId="9">#REF!</definedName>
    <definedName name="TN.3">#REF!</definedName>
    <definedName name="TN.5" localSheetId="9">#REF!</definedName>
    <definedName name="TN.5">#REF!</definedName>
    <definedName name="TOT.CNC.CE" localSheetId="9">'[10]Cust Eq Input'!#REF!</definedName>
    <definedName name="TOT.CNC.CE">'[10]Cust Eq Input'!#REF!</definedName>
    <definedName name="TREATED" localSheetId="9">#REF!</definedName>
    <definedName name="TREATED">#REF!</definedName>
    <definedName name="U_U_MAINS" localSheetId="9">#REF!</definedName>
    <definedName name="U_U_MAINS">#REF!</definedName>
    <definedName name="U_U_SEWER" localSheetId="9">#REF!</definedName>
    <definedName name="U_U_SEWER">#REF!</definedName>
    <definedName name="U_U_WATER" localSheetId="9">#REF!</definedName>
    <definedName name="U_U_WATER">#REF!</definedName>
    <definedName name="VA.1" localSheetId="9">#REF!</definedName>
    <definedName name="VA.1">#REF!</definedName>
    <definedName name="VA.3" localSheetId="9">#REF!</definedName>
    <definedName name="VA.3">#REF!</definedName>
    <definedName name="VA.5" localSheetId="9">#REF!</definedName>
    <definedName name="VA.5">#REF!</definedName>
    <definedName name="W_STATS" localSheetId="9">#REF!</definedName>
    <definedName name="W_STATS">#REF!</definedName>
    <definedName name="WADPRIM" localSheetId="9">#REF!</definedName>
    <definedName name="WADPRIM">#REF!</definedName>
    <definedName name="WastewaterAccumulatedDepreciation">'[12]Plant Inputs'!$A$149:$N$192</definedName>
    <definedName name="WaterPlantInService">'[12]Plant Inputs'!$A$4:$N$48</definedName>
    <definedName name="WCA" localSheetId="9">#REF!</definedName>
    <definedName name="WCA">#REF!</definedName>
    <definedName name="WD.CE" localSheetId="9">'[10]Cust Eq Input'!#REF!</definedName>
    <definedName name="WD.CE">'[10]Cust Eq Input'!#REF!</definedName>
    <definedName name="WPPRIM" localSheetId="9">#REF!</definedName>
    <definedName name="WPPRIM">#REF!</definedName>
    <definedName name="WRB" localSheetId="9">#REF!</definedName>
    <definedName name="WRB">#REF!</definedName>
    <definedName name="WSCBSAllocation">[8]Data!$BE$13:$BF$131</definedName>
    <definedName name="YEAR">[6]INFO!$D$16</definedName>
    <definedName name="Year_End_Results_for_1997__1996____1995" localSheetId="9">#REF!</definedName>
    <definedName name="Year_End_Results_for_1997__1996____1995">#REF!</definedName>
    <definedName name="z" localSheetId="9">'[10]Cust Eq Input'!#REF!</definedName>
    <definedName name="z">'[10]Cust Eq Input'!#REF!</definedName>
  </definedNames>
  <calcPr calcId="145621"/>
</workbook>
</file>

<file path=xl/calcChain.xml><?xml version="1.0" encoding="utf-8"?>
<calcChain xmlns="http://schemas.openxmlformats.org/spreadsheetml/2006/main">
  <c r="AD34" i="15" l="1"/>
  <c r="AC34" i="15"/>
  <c r="AB25" i="13"/>
  <c r="AB24" i="13"/>
  <c r="AC25" i="13"/>
  <c r="AB35" i="13"/>
  <c r="AD20" i="13"/>
  <c r="AD19" i="13"/>
  <c r="AB20" i="13"/>
  <c r="AB19" i="13"/>
  <c r="AB18" i="13"/>
  <c r="Q2" i="22" l="1"/>
  <c r="Q1" i="22"/>
  <c r="Q2" i="21"/>
  <c r="Q1" i="21"/>
  <c r="Z2" i="13"/>
  <c r="Z1" i="13"/>
  <c r="AQ2" i="14"/>
  <c r="AQ1" i="14"/>
  <c r="AA2" i="15"/>
  <c r="AA1" i="15"/>
  <c r="AA2" i="16"/>
  <c r="AA1" i="16"/>
  <c r="M15" i="22"/>
  <c r="I15" i="22"/>
  <c r="E15" i="22"/>
  <c r="O9" i="22"/>
  <c r="C30" i="22" s="1"/>
  <c r="I11" i="22"/>
  <c r="I10" i="22"/>
  <c r="E11" i="22"/>
  <c r="E10" i="22"/>
  <c r="I18" i="22"/>
  <c r="M18" i="22" s="1"/>
  <c r="E18" i="22"/>
  <c r="T11" i="22"/>
  <c r="T12" i="22" s="1"/>
  <c r="T14" i="22" s="1"/>
  <c r="U14" i="22" s="1"/>
  <c r="M9" i="22"/>
  <c r="M15" i="21"/>
  <c r="I15" i="21"/>
  <c r="E15" i="21"/>
  <c r="E19" i="21" s="1"/>
  <c r="E20" i="21" s="1"/>
  <c r="E18" i="21"/>
  <c r="C31" i="21"/>
  <c r="C30" i="21"/>
  <c r="T12" i="21"/>
  <c r="T14" i="21" s="1"/>
  <c r="U14" i="21" s="1"/>
  <c r="T11" i="21"/>
  <c r="O11" i="21"/>
  <c r="C32" i="21" s="1"/>
  <c r="I11" i="21"/>
  <c r="K11" i="21" s="1"/>
  <c r="E11" i="21"/>
  <c r="O10" i="21"/>
  <c r="I10" i="21"/>
  <c r="I13" i="21" s="1"/>
  <c r="E10" i="21"/>
  <c r="M9" i="21"/>
  <c r="I13" i="22" l="1"/>
  <c r="K9" i="22" s="1"/>
  <c r="E19" i="22"/>
  <c r="E20" i="22" s="1"/>
  <c r="M10" i="22"/>
  <c r="I18" i="21"/>
  <c r="M18" i="21" s="1"/>
  <c r="K9" i="21"/>
  <c r="K10" i="21"/>
  <c r="Q10" i="21"/>
  <c r="C34" i="21"/>
  <c r="M11" i="21"/>
  <c r="M10" i="21"/>
  <c r="E13" i="21"/>
  <c r="O13" i="21"/>
  <c r="Q9" i="21" s="1"/>
  <c r="K10" i="22" l="1"/>
  <c r="K13" i="22" s="1"/>
  <c r="K11" i="22"/>
  <c r="I19" i="22"/>
  <c r="I20" i="22" s="1"/>
  <c r="M11" i="22"/>
  <c r="E13" i="22"/>
  <c r="G11" i="22" s="1"/>
  <c r="M13" i="21"/>
  <c r="G9" i="21"/>
  <c r="I19" i="21"/>
  <c r="I20" i="21" s="1"/>
  <c r="G11" i="21"/>
  <c r="K13" i="21"/>
  <c r="Q13" i="21"/>
  <c r="M19" i="21"/>
  <c r="M20" i="21" s="1"/>
  <c r="Q11" i="21"/>
  <c r="G10" i="21"/>
  <c r="M19" i="22" l="1"/>
  <c r="M20" i="22" s="1"/>
  <c r="M13" i="22"/>
  <c r="G9" i="22"/>
  <c r="G10" i="22"/>
  <c r="G13" i="21"/>
  <c r="G13" i="22" l="1"/>
  <c r="Y53" i="15" l="1"/>
  <c r="W53" i="15"/>
  <c r="U53" i="15"/>
  <c r="S53" i="15"/>
  <c r="Q53" i="15"/>
  <c r="O53" i="15"/>
  <c r="M53" i="15"/>
  <c r="K53" i="15"/>
  <c r="I53" i="15"/>
  <c r="G53" i="15"/>
  <c r="E53" i="15"/>
  <c r="C53" i="15"/>
  <c r="U52" i="15"/>
  <c r="Y52" i="15"/>
  <c r="W52" i="15"/>
  <c r="S52" i="15"/>
  <c r="Q52" i="15"/>
  <c r="O52" i="15"/>
  <c r="M52" i="15"/>
  <c r="K52" i="15"/>
  <c r="I52" i="15"/>
  <c r="G52" i="15"/>
  <c r="E52" i="15"/>
  <c r="C52" i="15"/>
  <c r="A48" i="20" l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L75" i="20"/>
  <c r="AE64" i="16"/>
  <c r="AE63" i="16"/>
  <c r="L70" i="20"/>
  <c r="F68" i="20"/>
  <c r="F67" i="20"/>
  <c r="F66" i="20"/>
  <c r="F65" i="20"/>
  <c r="F64" i="20"/>
  <c r="F63" i="20"/>
  <c r="F62" i="20"/>
  <c r="F41" i="20"/>
  <c r="F40" i="20"/>
  <c r="F39" i="20"/>
  <c r="F38" i="20"/>
  <c r="F37" i="20"/>
  <c r="F36" i="20"/>
  <c r="F35" i="20"/>
  <c r="F34" i="20"/>
  <c r="F33" i="20"/>
  <c r="F32" i="20"/>
  <c r="F21" i="20"/>
  <c r="F20" i="20"/>
  <c r="F19" i="20"/>
  <c r="F18" i="20"/>
  <c r="F17" i="20"/>
  <c r="F16" i="20"/>
  <c r="F15" i="20"/>
  <c r="F14" i="20"/>
  <c r="F13" i="20"/>
  <c r="F12" i="20"/>
  <c r="H57" i="20"/>
  <c r="H58" i="20" s="1"/>
  <c r="L56" i="20"/>
  <c r="L55" i="20"/>
  <c r="F52" i="20"/>
  <c r="F58" i="20" s="1"/>
  <c r="A12" i="20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K52" i="17" l="1"/>
  <c r="AE58" i="16"/>
  <c r="F69" i="20"/>
  <c r="L72" i="20"/>
  <c r="L57" i="20"/>
  <c r="F42" i="20"/>
  <c r="F46" i="20" s="1"/>
  <c r="F22" i="20"/>
  <c r="F28" i="20" s="1"/>
  <c r="V15" i="4" l="1"/>
  <c r="AJ28" i="14" l="1"/>
  <c r="AJ29" i="14" s="1"/>
  <c r="AJ30" i="14" s="1"/>
  <c r="O29" i="14"/>
  <c r="AJ22" i="14"/>
  <c r="AJ23" i="14" s="1"/>
  <c r="AJ24" i="14" s="1"/>
  <c r="AG22" i="14"/>
  <c r="AG23" i="14" s="1"/>
  <c r="AG24" i="14" s="1"/>
  <c r="U22" i="14"/>
  <c r="U23" i="14" s="1"/>
  <c r="U24" i="14" s="1"/>
  <c r="AD23" i="14"/>
  <c r="AD24" i="14" s="1"/>
  <c r="AD22" i="14"/>
  <c r="AA22" i="14"/>
  <c r="AA23" i="14" s="1"/>
  <c r="AA24" i="14" s="1"/>
  <c r="X22" i="14"/>
  <c r="X23" i="14" s="1"/>
  <c r="X24" i="14" s="1"/>
  <c r="R23" i="14"/>
  <c r="R24" i="14" s="1"/>
  <c r="R7" i="14"/>
  <c r="AJ31" i="14" l="1"/>
  <c r="U25" i="14"/>
  <c r="V22" i="14" l="1"/>
  <c r="AJ25" i="14"/>
  <c r="AG25" i="14"/>
  <c r="V23" i="14"/>
  <c r="V24" i="14"/>
  <c r="AD25" i="14"/>
  <c r="AA25" i="14"/>
  <c r="R25" i="14"/>
  <c r="AE24" i="14" l="1"/>
  <c r="S22" i="14"/>
  <c r="AB24" i="14"/>
  <c r="AH22" i="14"/>
  <c r="AK22" i="14"/>
  <c r="AK23" i="14"/>
  <c r="AK24" i="14"/>
  <c r="AH23" i="14"/>
  <c r="AH24" i="14"/>
  <c r="AE22" i="14"/>
  <c r="AE23" i="14"/>
  <c r="AB23" i="14"/>
  <c r="AB22" i="14"/>
  <c r="X25" i="14"/>
  <c r="S24" i="14"/>
  <c r="S23" i="14"/>
  <c r="Y22" i="14" l="1"/>
  <c r="Y23" i="14"/>
  <c r="Y24" i="14"/>
  <c r="O30" i="14" l="1"/>
  <c r="O31" i="14" s="1"/>
  <c r="O22" i="14"/>
  <c r="AM22" i="14" s="1"/>
  <c r="C40" i="17" s="1"/>
  <c r="O23" i="14" l="1"/>
  <c r="O24" i="14" s="1"/>
  <c r="O25" i="14" l="1"/>
  <c r="P23" i="14" l="1"/>
  <c r="P22" i="14"/>
  <c r="P24" i="14"/>
  <c r="L23" i="14"/>
  <c r="L24" i="14" l="1"/>
  <c r="O11" i="22" s="1"/>
  <c r="O10" i="22"/>
  <c r="I23" i="14"/>
  <c r="F23" i="14"/>
  <c r="F24" i="14" s="1"/>
  <c r="C23" i="14"/>
  <c r="AS10" i="14"/>
  <c r="AS11" i="14" s="1"/>
  <c r="C32" i="22" l="1"/>
  <c r="C34" i="22" s="1"/>
  <c r="C31" i="22"/>
  <c r="O13" i="22"/>
  <c r="Q9" i="22" s="1"/>
  <c r="Q10" i="22"/>
  <c r="AM23" i="14"/>
  <c r="C24" i="14"/>
  <c r="L25" i="14"/>
  <c r="I25" i="14"/>
  <c r="F25" i="14"/>
  <c r="Y36" i="13"/>
  <c r="W36" i="13"/>
  <c r="U36" i="13"/>
  <c r="S36" i="13"/>
  <c r="Q36" i="13"/>
  <c r="O36" i="13"/>
  <c r="M36" i="13"/>
  <c r="K36" i="13"/>
  <c r="I36" i="13"/>
  <c r="G36" i="13"/>
  <c r="E36" i="13"/>
  <c r="C36" i="13"/>
  <c r="Q11" i="22" l="1"/>
  <c r="Q13" i="22" s="1"/>
  <c r="G22" i="14"/>
  <c r="J22" i="14"/>
  <c r="M22" i="14"/>
  <c r="AM24" i="14"/>
  <c r="G23" i="14"/>
  <c r="C25" i="14"/>
  <c r="M24" i="14"/>
  <c r="M23" i="14"/>
  <c r="J24" i="14"/>
  <c r="J23" i="14"/>
  <c r="G24" i="14"/>
  <c r="D22" i="14" l="1"/>
  <c r="D23" i="14"/>
  <c r="D24" i="14"/>
  <c r="I42" i="12" l="1"/>
  <c r="I27" i="12"/>
  <c r="I26" i="12"/>
  <c r="I25" i="12"/>
  <c r="I17" i="12"/>
  <c r="I15" i="12"/>
  <c r="C30" i="12"/>
  <c r="C29" i="12"/>
  <c r="C28" i="12"/>
  <c r="G33" i="12"/>
  <c r="I33" i="12" s="1"/>
  <c r="G35" i="12"/>
  <c r="I35" i="12" s="1"/>
  <c r="C27" i="11"/>
  <c r="C26" i="11"/>
  <c r="C25" i="11"/>
  <c r="M39" i="11"/>
  <c r="M37" i="11"/>
  <c r="M36" i="11"/>
  <c r="M34" i="11"/>
  <c r="M33" i="11"/>
  <c r="M32" i="11"/>
  <c r="M24" i="11"/>
  <c r="M22" i="11"/>
  <c r="M21" i="11"/>
  <c r="M20" i="11"/>
  <c r="M19" i="11"/>
  <c r="M18" i="11"/>
  <c r="M17" i="11"/>
  <c r="M15" i="11"/>
  <c r="K37" i="11"/>
  <c r="K36" i="11"/>
  <c r="K35" i="11"/>
  <c r="M35" i="11" s="1"/>
  <c r="K34" i="11"/>
  <c r="K33" i="11"/>
  <c r="K32" i="11"/>
  <c r="K30" i="11"/>
  <c r="M30" i="11" s="1"/>
  <c r="C27" i="10"/>
  <c r="C26" i="10"/>
  <c r="C25" i="10"/>
  <c r="I39" i="10"/>
  <c r="I24" i="10"/>
  <c r="I19" i="10"/>
  <c r="I18" i="10"/>
  <c r="I17" i="10"/>
  <c r="I15" i="10"/>
  <c r="G39" i="10"/>
  <c r="G34" i="10"/>
  <c r="I34" i="10" s="1"/>
  <c r="G32" i="10"/>
  <c r="I32" i="10" s="1"/>
  <c r="G30" i="10"/>
  <c r="I30" i="10" s="1"/>
  <c r="G21" i="10"/>
  <c r="G33" i="10"/>
  <c r="I33" i="10" s="1"/>
  <c r="I16" i="10"/>
  <c r="AD15" i="14"/>
  <c r="C27" i="9"/>
  <c r="C26" i="9"/>
  <c r="C25" i="9"/>
  <c r="M24" i="9"/>
  <c r="M17" i="9"/>
  <c r="M15" i="9"/>
  <c r="K39" i="9"/>
  <c r="M39" i="9" s="1"/>
  <c r="K32" i="9"/>
  <c r="M32" i="9" s="1"/>
  <c r="K30" i="9"/>
  <c r="M30" i="9" s="1"/>
  <c r="K18" i="9"/>
  <c r="K19" i="9" s="1"/>
  <c r="K21" i="9" s="1"/>
  <c r="K16" i="9"/>
  <c r="M16" i="9" s="1"/>
  <c r="S26" i="15"/>
  <c r="S7" i="15"/>
  <c r="C31" i="8"/>
  <c r="C30" i="8"/>
  <c r="C29" i="8"/>
  <c r="K34" i="8"/>
  <c r="M34" i="8" s="1"/>
  <c r="M43" i="8"/>
  <c r="M28" i="8"/>
  <c r="M27" i="8"/>
  <c r="M26" i="8"/>
  <c r="M25" i="8"/>
  <c r="M17" i="8"/>
  <c r="M15" i="8"/>
  <c r="K36" i="8"/>
  <c r="M36" i="8" s="1"/>
  <c r="C27" i="7"/>
  <c r="C26" i="7"/>
  <c r="C25" i="7"/>
  <c r="M39" i="7"/>
  <c r="M34" i="7"/>
  <c r="M24" i="7"/>
  <c r="K39" i="7"/>
  <c r="K37" i="7"/>
  <c r="M37" i="7" s="1"/>
  <c r="K36" i="7"/>
  <c r="M36" i="7" s="1"/>
  <c r="K35" i="7"/>
  <c r="M35" i="7" s="1"/>
  <c r="K34" i="7"/>
  <c r="K33" i="7"/>
  <c r="M33" i="7" s="1"/>
  <c r="K32" i="7"/>
  <c r="M32" i="7" s="1"/>
  <c r="K30" i="7"/>
  <c r="M30" i="7" s="1"/>
  <c r="M22" i="7"/>
  <c r="M21" i="7"/>
  <c r="M20" i="7"/>
  <c r="M19" i="7"/>
  <c r="M18" i="7"/>
  <c r="M17" i="7"/>
  <c r="M15" i="7"/>
  <c r="O61" i="16"/>
  <c r="U15" i="14"/>
  <c r="C31" i="6"/>
  <c r="C30" i="6"/>
  <c r="C29" i="6"/>
  <c r="O51" i="6"/>
  <c r="O50" i="6"/>
  <c r="O49" i="6"/>
  <c r="O48" i="6"/>
  <c r="O47" i="6"/>
  <c r="O44" i="6"/>
  <c r="O37" i="6"/>
  <c r="O36" i="6"/>
  <c r="O35" i="6"/>
  <c r="O34" i="6"/>
  <c r="O28" i="6"/>
  <c r="O27" i="6"/>
  <c r="O26" i="6"/>
  <c r="O18" i="6"/>
  <c r="O17" i="6"/>
  <c r="O16" i="6"/>
  <c r="O15" i="6"/>
  <c r="M37" i="6"/>
  <c r="M36" i="6"/>
  <c r="M35" i="6"/>
  <c r="M34" i="6"/>
  <c r="M23" i="6"/>
  <c r="M42" i="6" s="1"/>
  <c r="O42" i="6" s="1"/>
  <c r="M22" i="6"/>
  <c r="M41" i="6" s="1"/>
  <c r="O41" i="6" s="1"/>
  <c r="M21" i="6"/>
  <c r="M40" i="6" s="1"/>
  <c r="O40" i="6" s="1"/>
  <c r="M20" i="6"/>
  <c r="M39" i="6" s="1"/>
  <c r="O39" i="6" s="1"/>
  <c r="M19" i="6"/>
  <c r="M38" i="6" s="1"/>
  <c r="O38" i="6" s="1"/>
  <c r="M16" i="6"/>
  <c r="M61" i="16"/>
  <c r="C31" i="5"/>
  <c r="C30" i="5"/>
  <c r="C29" i="5"/>
  <c r="C32" i="4"/>
  <c r="C31" i="4"/>
  <c r="C30" i="4"/>
  <c r="M43" i="5"/>
  <c r="M28" i="5"/>
  <c r="M27" i="5"/>
  <c r="M26" i="5"/>
  <c r="M25" i="5"/>
  <c r="M41" i="5"/>
  <c r="M37" i="5"/>
  <c r="M22" i="5"/>
  <c r="M21" i="5"/>
  <c r="M20" i="5"/>
  <c r="M19" i="5"/>
  <c r="M18" i="5"/>
  <c r="M17" i="5"/>
  <c r="M16" i="5"/>
  <c r="M15" i="5"/>
  <c r="K41" i="5"/>
  <c r="K40" i="5"/>
  <c r="M40" i="5" s="1"/>
  <c r="K39" i="5"/>
  <c r="M39" i="5" s="1"/>
  <c r="K38" i="5"/>
  <c r="M38" i="5" s="1"/>
  <c r="K37" i="5"/>
  <c r="K36" i="5"/>
  <c r="M36" i="5" s="1"/>
  <c r="K35" i="5"/>
  <c r="M35" i="5" s="1"/>
  <c r="K34" i="5"/>
  <c r="M34" i="5" s="1"/>
  <c r="Q51" i="4"/>
  <c r="Q50" i="4"/>
  <c r="O53" i="4"/>
  <c r="O51" i="4"/>
  <c r="O50" i="4"/>
  <c r="O49" i="4"/>
  <c r="O46" i="4"/>
  <c r="O29" i="4"/>
  <c r="O28" i="4"/>
  <c r="O27" i="4"/>
  <c r="O24" i="4"/>
  <c r="O23" i="4"/>
  <c r="O22" i="4"/>
  <c r="O21" i="4"/>
  <c r="O20" i="4"/>
  <c r="O19" i="4"/>
  <c r="O18" i="4"/>
  <c r="O17" i="4"/>
  <c r="O15" i="4"/>
  <c r="M53" i="4"/>
  <c r="Q53" i="4" s="1"/>
  <c r="M52" i="4"/>
  <c r="O52" i="4" s="1"/>
  <c r="M51" i="4"/>
  <c r="M50" i="4"/>
  <c r="M49" i="4"/>
  <c r="Q49" i="4" s="1"/>
  <c r="M44" i="4"/>
  <c r="O44" i="4" s="1"/>
  <c r="M43" i="4"/>
  <c r="O43" i="4" s="1"/>
  <c r="M42" i="4"/>
  <c r="O42" i="4" s="1"/>
  <c r="M41" i="4"/>
  <c r="O41" i="4" s="1"/>
  <c r="M40" i="4"/>
  <c r="O40" i="4" s="1"/>
  <c r="M39" i="4"/>
  <c r="O39" i="4" s="1"/>
  <c r="M38" i="4"/>
  <c r="O38" i="4" s="1"/>
  <c r="M37" i="4"/>
  <c r="O37" i="4" s="1"/>
  <c r="M35" i="4"/>
  <c r="O35" i="4" s="1"/>
  <c r="I18" i="12" l="1"/>
  <c r="K36" i="9"/>
  <c r="M36" i="9" s="1"/>
  <c r="M18" i="8"/>
  <c r="G36" i="12"/>
  <c r="I36" i="12" s="1"/>
  <c r="G22" i="10"/>
  <c r="I21" i="10"/>
  <c r="G36" i="10"/>
  <c r="I36" i="10" s="1"/>
  <c r="G31" i="10"/>
  <c r="I31" i="10" s="1"/>
  <c r="G35" i="10"/>
  <c r="I35" i="10" s="1"/>
  <c r="I20" i="10"/>
  <c r="K33" i="9"/>
  <c r="M33" i="9" s="1"/>
  <c r="M21" i="9"/>
  <c r="K22" i="9"/>
  <c r="K34" i="9"/>
  <c r="M34" i="9" s="1"/>
  <c r="K35" i="9"/>
  <c r="M35" i="9" s="1"/>
  <c r="M18" i="9"/>
  <c r="M19" i="9"/>
  <c r="K31" i="9"/>
  <c r="M31" i="9" s="1"/>
  <c r="M20" i="9"/>
  <c r="K37" i="8"/>
  <c r="M37" i="8" s="1"/>
  <c r="O19" i="6"/>
  <c r="O23" i="6"/>
  <c r="O20" i="6"/>
  <c r="O21" i="6"/>
  <c r="O22" i="6"/>
  <c r="Q52" i="4"/>
  <c r="I11" i="15"/>
  <c r="C61" i="16"/>
  <c r="E61" i="16"/>
  <c r="G30" i="15"/>
  <c r="O25" i="3"/>
  <c r="O22" i="3"/>
  <c r="O21" i="3"/>
  <c r="O17" i="3"/>
  <c r="O15" i="3"/>
  <c r="M22" i="9" l="1"/>
  <c r="K37" i="9"/>
  <c r="M37" i="9" s="1"/>
  <c r="G37" i="12"/>
  <c r="I37" i="12" s="1"/>
  <c r="I19" i="12"/>
  <c r="G37" i="10"/>
  <c r="I37" i="10" s="1"/>
  <c r="I22" i="10"/>
  <c r="K38" i="8"/>
  <c r="M38" i="8" s="1"/>
  <c r="M19" i="8"/>
  <c r="Q44" i="2"/>
  <c r="Q43" i="2"/>
  <c r="Q42" i="2"/>
  <c r="Q41" i="2"/>
  <c r="Q40" i="2"/>
  <c r="Q39" i="2"/>
  <c r="Q38" i="2"/>
  <c r="Q37" i="2"/>
  <c r="Q31" i="2"/>
  <c r="Q30" i="2"/>
  <c r="Q24" i="2"/>
  <c r="Q22" i="2"/>
  <c r="Q21" i="2"/>
  <c r="Q20" i="2"/>
  <c r="Q19" i="2"/>
  <c r="Q18" i="2"/>
  <c r="Q17" i="2"/>
  <c r="Q16" i="2"/>
  <c r="Q15" i="2"/>
  <c r="M15" i="1"/>
  <c r="M16" i="1"/>
  <c r="M17" i="1"/>
  <c r="M18" i="1"/>
  <c r="M19" i="1"/>
  <c r="M43" i="1"/>
  <c r="M40" i="1"/>
  <c r="M39" i="1"/>
  <c r="M36" i="1"/>
  <c r="M35" i="1"/>
  <c r="M27" i="1"/>
  <c r="M26" i="1"/>
  <c r="M25" i="1"/>
  <c r="M22" i="1"/>
  <c r="M21" i="1"/>
  <c r="M20" i="1"/>
  <c r="M41" i="3"/>
  <c r="M38" i="3"/>
  <c r="O38" i="3" s="1"/>
  <c r="M37" i="3"/>
  <c r="O37" i="3" s="1"/>
  <c r="M33" i="3"/>
  <c r="O33" i="3" s="1"/>
  <c r="M31" i="3"/>
  <c r="O31" i="3" s="1"/>
  <c r="M16" i="3"/>
  <c r="C28" i="3"/>
  <c r="C27" i="3"/>
  <c r="C26" i="3"/>
  <c r="C34" i="2"/>
  <c r="C33" i="2"/>
  <c r="C32" i="2"/>
  <c r="C27" i="2"/>
  <c r="C26" i="2"/>
  <c r="C25" i="2"/>
  <c r="C30" i="1"/>
  <c r="C29" i="1"/>
  <c r="C28" i="1"/>
  <c r="O46" i="2"/>
  <c r="O44" i="2"/>
  <c r="O43" i="2"/>
  <c r="O42" i="2"/>
  <c r="O41" i="2"/>
  <c r="O40" i="2"/>
  <c r="O39" i="2"/>
  <c r="O38" i="2"/>
  <c r="O37" i="2"/>
  <c r="K41" i="1"/>
  <c r="M41" i="1" s="1"/>
  <c r="K40" i="1"/>
  <c r="K39" i="1"/>
  <c r="K38" i="1"/>
  <c r="M38" i="1" s="1"/>
  <c r="K37" i="1"/>
  <c r="M37" i="1" s="1"/>
  <c r="K36" i="1"/>
  <c r="K35" i="1"/>
  <c r="K34" i="1"/>
  <c r="M34" i="1" s="1"/>
  <c r="O41" i="3" l="1"/>
  <c r="M35" i="3"/>
  <c r="O35" i="3" s="1"/>
  <c r="O19" i="3"/>
  <c r="M32" i="3"/>
  <c r="O32" i="3" s="1"/>
  <c r="O16" i="3"/>
  <c r="M34" i="3"/>
  <c r="O34" i="3" s="1"/>
  <c r="O18" i="3"/>
  <c r="M36" i="3"/>
  <c r="O36" i="3" s="1"/>
  <c r="O20" i="3"/>
  <c r="Q46" i="2"/>
  <c r="G38" i="12"/>
  <c r="I38" i="12" s="1"/>
  <c r="I20" i="12"/>
  <c r="K39" i="8"/>
  <c r="M39" i="8" s="1"/>
  <c r="M20" i="8"/>
  <c r="R18" i="14"/>
  <c r="I21" i="12" l="1"/>
  <c r="G39" i="12"/>
  <c r="I39" i="12" s="1"/>
  <c r="K40" i="8"/>
  <c r="M40" i="8" s="1"/>
  <c r="M21" i="8"/>
  <c r="Y28" i="15"/>
  <c r="Y26" i="15"/>
  <c r="Y24" i="15"/>
  <c r="S27" i="15"/>
  <c r="O26" i="15"/>
  <c r="K28" i="15"/>
  <c r="K24" i="15"/>
  <c r="I24" i="15"/>
  <c r="G40" i="12" l="1"/>
  <c r="I40" i="12" s="1"/>
  <c r="I22" i="12"/>
  <c r="M22" i="8"/>
  <c r="K41" i="8"/>
  <c r="M41" i="8" s="1"/>
  <c r="Y7" i="15"/>
  <c r="Y9" i="15"/>
  <c r="K7" i="15"/>
  <c r="E42" i="17" l="1"/>
  <c r="E41" i="17"/>
  <c r="E40" i="17"/>
  <c r="O13" i="14" l="1"/>
  <c r="O11" i="14"/>
  <c r="O9" i="14"/>
  <c r="O7" i="14"/>
  <c r="AU18" i="14" l="1"/>
  <c r="AD36" i="13"/>
  <c r="AC35" i="13"/>
  <c r="C45" i="17" l="1"/>
  <c r="G45" i="17" s="1"/>
  <c r="H44" i="20"/>
  <c r="H46" i="20" s="1"/>
  <c r="AE35" i="13"/>
  <c r="G42" i="17" l="1"/>
  <c r="G41" i="17"/>
  <c r="E31" i="17" l="1"/>
  <c r="E30" i="17"/>
  <c r="E29" i="17"/>
  <c r="E28" i="17"/>
  <c r="E27" i="17"/>
  <c r="E26" i="17"/>
  <c r="E25" i="17"/>
  <c r="AD42" i="13"/>
  <c r="AF48" i="13"/>
  <c r="AF47" i="13"/>
  <c r="AF46" i="13"/>
  <c r="AF45" i="13"/>
  <c r="AF44" i="13"/>
  <c r="AF42" i="13"/>
  <c r="I43" i="13"/>
  <c r="AF43" i="13" s="1"/>
  <c r="I42" i="13"/>
  <c r="AE42" i="13"/>
  <c r="AE46" i="13"/>
  <c r="AE45" i="13"/>
  <c r="AE44" i="13"/>
  <c r="AE43" i="13"/>
  <c r="AA50" i="15"/>
  <c r="C18" i="17"/>
  <c r="C17" i="17"/>
  <c r="C16" i="17"/>
  <c r="C14" i="17"/>
  <c r="E18" i="17"/>
  <c r="E17" i="17"/>
  <c r="E16" i="17"/>
  <c r="E15" i="17"/>
  <c r="E14" i="17"/>
  <c r="E13" i="17"/>
  <c r="E12" i="17"/>
  <c r="E11" i="17"/>
  <c r="E10" i="17"/>
  <c r="E9" i="17"/>
  <c r="C31" i="17"/>
  <c r="C30" i="17"/>
  <c r="C29" i="17"/>
  <c r="C28" i="17"/>
  <c r="C27" i="17"/>
  <c r="C26" i="17"/>
  <c r="C25" i="17"/>
  <c r="G17" i="17" l="1"/>
  <c r="G27" i="17"/>
  <c r="G31" i="17"/>
  <c r="G16" i="17"/>
  <c r="G28" i="17"/>
  <c r="G25" i="17"/>
  <c r="G29" i="17"/>
  <c r="G14" i="17"/>
  <c r="G18" i="17"/>
  <c r="G26" i="17"/>
  <c r="G30" i="17"/>
  <c r="E41" i="16"/>
  <c r="AA60" i="16"/>
  <c r="Y52" i="16"/>
  <c r="Y57" i="16"/>
  <c r="Y38" i="16"/>
  <c r="Y62" i="16"/>
  <c r="Y35" i="16"/>
  <c r="Y34" i="16"/>
  <c r="Y33" i="16"/>
  <c r="Y32" i="16"/>
  <c r="Y31" i="16"/>
  <c r="Y30" i="16"/>
  <c r="Y29" i="16"/>
  <c r="Y28" i="16"/>
  <c r="Y27" i="16"/>
  <c r="Y26" i="16"/>
  <c r="Y16" i="16"/>
  <c r="Y15" i="16"/>
  <c r="Y14" i="16"/>
  <c r="Y13" i="16"/>
  <c r="Y12" i="16"/>
  <c r="Y11" i="16"/>
  <c r="Y10" i="16"/>
  <c r="Y9" i="16"/>
  <c r="Y8" i="16"/>
  <c r="Y7" i="16"/>
  <c r="W38" i="16"/>
  <c r="W19" i="16"/>
  <c r="W23" i="16" s="1"/>
  <c r="W62" i="16"/>
  <c r="W57" i="16"/>
  <c r="W52" i="16"/>
  <c r="W35" i="16"/>
  <c r="W34" i="16"/>
  <c r="W33" i="16"/>
  <c r="W32" i="16"/>
  <c r="W31" i="16"/>
  <c r="W30" i="16"/>
  <c r="W29" i="16"/>
  <c r="W28" i="16"/>
  <c r="W27" i="16"/>
  <c r="W26" i="16"/>
  <c r="W16" i="16"/>
  <c r="W15" i="16"/>
  <c r="W14" i="16"/>
  <c r="W13" i="16"/>
  <c r="W12" i="16"/>
  <c r="W11" i="16"/>
  <c r="W10" i="16"/>
  <c r="W9" i="16"/>
  <c r="W8" i="16"/>
  <c r="W7" i="16"/>
  <c r="U60" i="16"/>
  <c r="U62" i="16" s="1"/>
  <c r="U38" i="16"/>
  <c r="U19" i="16"/>
  <c r="U57" i="16"/>
  <c r="U52" i="16"/>
  <c r="U35" i="16"/>
  <c r="U34" i="16"/>
  <c r="U33" i="16"/>
  <c r="U32" i="16"/>
  <c r="U31" i="16"/>
  <c r="U30" i="16"/>
  <c r="U29" i="16"/>
  <c r="U28" i="16"/>
  <c r="U27" i="16"/>
  <c r="U26" i="16"/>
  <c r="U16" i="16"/>
  <c r="U15" i="16"/>
  <c r="U14" i="16"/>
  <c r="U13" i="16"/>
  <c r="U12" i="16"/>
  <c r="U11" i="16"/>
  <c r="U10" i="16"/>
  <c r="U9" i="16"/>
  <c r="U8" i="16"/>
  <c r="U7" i="16"/>
  <c r="S60" i="16"/>
  <c r="S38" i="16"/>
  <c r="S19" i="16"/>
  <c r="S23" i="16" s="1"/>
  <c r="S62" i="16"/>
  <c r="S57" i="16"/>
  <c r="S52" i="16"/>
  <c r="S35" i="16"/>
  <c r="S34" i="16"/>
  <c r="S33" i="16"/>
  <c r="S32" i="16"/>
  <c r="S31" i="16"/>
  <c r="S30" i="16"/>
  <c r="S29" i="16"/>
  <c r="S28" i="16"/>
  <c r="S27" i="16"/>
  <c r="S26" i="16"/>
  <c r="S16" i="16"/>
  <c r="S15" i="16"/>
  <c r="S14" i="16"/>
  <c r="S13" i="16"/>
  <c r="S12" i="16"/>
  <c r="S11" i="16"/>
  <c r="S10" i="16"/>
  <c r="S9" i="16"/>
  <c r="S8" i="16"/>
  <c r="S7" i="16"/>
  <c r="Q38" i="16"/>
  <c r="Q22" i="16"/>
  <c r="Q21" i="16"/>
  <c r="Q20" i="16"/>
  <c r="Q62" i="16"/>
  <c r="Q57" i="16"/>
  <c r="Q52" i="16"/>
  <c r="Q35" i="16"/>
  <c r="Q34" i="16"/>
  <c r="Q33" i="16"/>
  <c r="Q32" i="16"/>
  <c r="Q31" i="16"/>
  <c r="Q30" i="16"/>
  <c r="Q29" i="16"/>
  <c r="Q28" i="16"/>
  <c r="Q27" i="16"/>
  <c r="Q26" i="16"/>
  <c r="Q16" i="16"/>
  <c r="Q15" i="16"/>
  <c r="Q14" i="16"/>
  <c r="Q13" i="16"/>
  <c r="Q12" i="16"/>
  <c r="Q11" i="16"/>
  <c r="Q10" i="16"/>
  <c r="Q9" i="16"/>
  <c r="Q8" i="16"/>
  <c r="Q7" i="16"/>
  <c r="O62" i="16"/>
  <c r="O57" i="16"/>
  <c r="O52" i="16"/>
  <c r="O38" i="16"/>
  <c r="O19" i="16"/>
  <c r="O23" i="16" s="1"/>
  <c r="O35" i="16"/>
  <c r="O34" i="16"/>
  <c r="O33" i="16"/>
  <c r="O32" i="16"/>
  <c r="O31" i="16"/>
  <c r="O30" i="16"/>
  <c r="O29" i="16"/>
  <c r="O28" i="16"/>
  <c r="O27" i="16"/>
  <c r="O26" i="16"/>
  <c r="O16" i="16"/>
  <c r="O15" i="16"/>
  <c r="O14" i="16"/>
  <c r="O13" i="16"/>
  <c r="O12" i="16"/>
  <c r="O11" i="16"/>
  <c r="O10" i="16"/>
  <c r="O9" i="16"/>
  <c r="O8" i="16"/>
  <c r="O7" i="16"/>
  <c r="M62" i="16"/>
  <c r="M49" i="16"/>
  <c r="M48" i="16"/>
  <c r="M47" i="16"/>
  <c r="M46" i="16"/>
  <c r="AA46" i="16" s="1"/>
  <c r="M45" i="16"/>
  <c r="AA45" i="16" s="1"/>
  <c r="M38" i="16"/>
  <c r="M35" i="16"/>
  <c r="M34" i="16"/>
  <c r="M33" i="16"/>
  <c r="M32" i="16"/>
  <c r="M31" i="16"/>
  <c r="M30" i="16"/>
  <c r="M29" i="16"/>
  <c r="M28" i="16"/>
  <c r="M27" i="16"/>
  <c r="M26" i="16"/>
  <c r="M16" i="16"/>
  <c r="M15" i="16"/>
  <c r="M14" i="16"/>
  <c r="M13" i="16"/>
  <c r="M12" i="16"/>
  <c r="M11" i="16"/>
  <c r="M10" i="16"/>
  <c r="M9" i="16"/>
  <c r="M8" i="16"/>
  <c r="M7" i="16"/>
  <c r="K62" i="16"/>
  <c r="K57" i="16"/>
  <c r="K52" i="16"/>
  <c r="K38" i="16"/>
  <c r="K22" i="16"/>
  <c r="K21" i="16"/>
  <c r="K20" i="16"/>
  <c r="K19" i="16"/>
  <c r="K35" i="16"/>
  <c r="K34" i="16"/>
  <c r="K33" i="16"/>
  <c r="K32" i="16"/>
  <c r="K31" i="16"/>
  <c r="K30" i="16"/>
  <c r="K29" i="16"/>
  <c r="K28" i="16"/>
  <c r="K27" i="16"/>
  <c r="K26" i="16"/>
  <c r="K16" i="16"/>
  <c r="K15" i="16"/>
  <c r="K14" i="16"/>
  <c r="K13" i="16"/>
  <c r="K12" i="16"/>
  <c r="K11" i="16"/>
  <c r="K10" i="16"/>
  <c r="K9" i="16"/>
  <c r="K8" i="16"/>
  <c r="K7" i="16"/>
  <c r="G32" i="17" l="1"/>
  <c r="K56" i="16"/>
  <c r="Y55" i="16"/>
  <c r="Y36" i="16"/>
  <c r="S36" i="16"/>
  <c r="Q55" i="16"/>
  <c r="Q36" i="16"/>
  <c r="S17" i="16"/>
  <c r="U55" i="16"/>
  <c r="W55" i="16"/>
  <c r="Y17" i="16"/>
  <c r="K55" i="16"/>
  <c r="M57" i="16"/>
  <c r="U36" i="16"/>
  <c r="W36" i="16"/>
  <c r="W56" i="16"/>
  <c r="W17" i="16"/>
  <c r="U56" i="16"/>
  <c r="U17" i="16"/>
  <c r="U23" i="16"/>
  <c r="S56" i="16"/>
  <c r="S55" i="16"/>
  <c r="Q17" i="16"/>
  <c r="O56" i="16"/>
  <c r="K23" i="16"/>
  <c r="O36" i="16"/>
  <c r="O55" i="16"/>
  <c r="M36" i="16"/>
  <c r="M55" i="16"/>
  <c r="M52" i="16"/>
  <c r="K36" i="16"/>
  <c r="O58" i="16" l="1"/>
  <c r="K58" i="16"/>
  <c r="U58" i="16"/>
  <c r="U68" i="16" s="1"/>
  <c r="W58" i="16"/>
  <c r="W68" i="16" s="1"/>
  <c r="S58" i="16"/>
  <c r="K64" i="16" l="1"/>
  <c r="K69" i="16"/>
  <c r="K67" i="16"/>
  <c r="K68" i="16"/>
  <c r="S64" i="16"/>
  <c r="S69" i="16"/>
  <c r="S67" i="16"/>
  <c r="O64" i="16"/>
  <c r="O67" i="16"/>
  <c r="O69" i="16"/>
  <c r="U64" i="16"/>
  <c r="U67" i="16"/>
  <c r="U69" i="16"/>
  <c r="W64" i="16"/>
  <c r="W67" i="16"/>
  <c r="W69" i="16"/>
  <c r="S68" i="16"/>
  <c r="O68" i="16"/>
  <c r="I62" i="16"/>
  <c r="I51" i="16"/>
  <c r="AA51" i="16" s="1"/>
  <c r="I50" i="16"/>
  <c r="AA50" i="16" s="1"/>
  <c r="I49" i="16"/>
  <c r="AA49" i="16" s="1"/>
  <c r="I48" i="16"/>
  <c r="AA48" i="16" s="1"/>
  <c r="I47" i="16"/>
  <c r="AA47" i="16" s="1"/>
  <c r="I38" i="16"/>
  <c r="AA52" i="16" l="1"/>
  <c r="I57" i="16"/>
  <c r="AA57" i="16" s="1"/>
  <c r="I52" i="16"/>
  <c r="I35" i="16" l="1"/>
  <c r="I34" i="16"/>
  <c r="I33" i="16"/>
  <c r="I32" i="16"/>
  <c r="I31" i="16"/>
  <c r="I30" i="16"/>
  <c r="I29" i="16"/>
  <c r="I28" i="16"/>
  <c r="I27" i="16"/>
  <c r="I26" i="16"/>
  <c r="I16" i="16"/>
  <c r="I15" i="16"/>
  <c r="I14" i="16"/>
  <c r="I13" i="16"/>
  <c r="I12" i="16"/>
  <c r="I11" i="16"/>
  <c r="I10" i="16"/>
  <c r="I9" i="16"/>
  <c r="I8" i="16"/>
  <c r="I7" i="16"/>
  <c r="G62" i="16"/>
  <c r="I17" i="16" l="1"/>
  <c r="I36" i="16"/>
  <c r="I55" i="16"/>
  <c r="G52" i="16"/>
  <c r="E52" i="16"/>
  <c r="G57" i="16"/>
  <c r="E57" i="16"/>
  <c r="G38" i="16"/>
  <c r="E38" i="16"/>
  <c r="G35" i="16"/>
  <c r="G34" i="16"/>
  <c r="G33" i="16"/>
  <c r="G32" i="16"/>
  <c r="G31" i="16"/>
  <c r="G30" i="16"/>
  <c r="G29" i="16"/>
  <c r="G28" i="16"/>
  <c r="G27" i="16"/>
  <c r="G26" i="16"/>
  <c r="E35" i="16"/>
  <c r="E34" i="16"/>
  <c r="E33" i="16"/>
  <c r="E32" i="16"/>
  <c r="E31" i="16"/>
  <c r="E30" i="16"/>
  <c r="E29" i="16"/>
  <c r="E28" i="16"/>
  <c r="E27" i="16"/>
  <c r="E26" i="16"/>
  <c r="G19" i="16"/>
  <c r="G16" i="16"/>
  <c r="G15" i="16"/>
  <c r="G14" i="16"/>
  <c r="G13" i="16"/>
  <c r="G12" i="16"/>
  <c r="G11" i="16"/>
  <c r="G10" i="16"/>
  <c r="G9" i="16"/>
  <c r="G8" i="16"/>
  <c r="G7" i="16"/>
  <c r="C57" i="16"/>
  <c r="C38" i="16"/>
  <c r="E19" i="16"/>
  <c r="E23" i="16" s="1"/>
  <c r="C52" i="16"/>
  <c r="C35" i="16"/>
  <c r="C34" i="16"/>
  <c r="C33" i="16"/>
  <c r="C32" i="16"/>
  <c r="C31" i="16"/>
  <c r="C30" i="16"/>
  <c r="C29" i="16"/>
  <c r="C28" i="16"/>
  <c r="C27" i="16"/>
  <c r="C26" i="16"/>
  <c r="E16" i="16"/>
  <c r="E15" i="16"/>
  <c r="E14" i="16"/>
  <c r="E13" i="16"/>
  <c r="E12" i="16"/>
  <c r="E11" i="16"/>
  <c r="E10" i="16"/>
  <c r="E9" i="16"/>
  <c r="E8" i="16"/>
  <c r="E7" i="16"/>
  <c r="C19" i="16"/>
  <c r="C16" i="16"/>
  <c r="C15" i="16"/>
  <c r="C14" i="16"/>
  <c r="C13" i="16"/>
  <c r="C12" i="16"/>
  <c r="C11" i="16"/>
  <c r="C10" i="16"/>
  <c r="C9" i="16"/>
  <c r="C8" i="16"/>
  <c r="C7" i="16"/>
  <c r="E6" i="16"/>
  <c r="G6" i="16" s="1"/>
  <c r="I6" i="16" s="1"/>
  <c r="K6" i="16" s="1"/>
  <c r="AA7" i="16" l="1"/>
  <c r="AA11" i="16"/>
  <c r="AA15" i="16"/>
  <c r="AA35" i="16"/>
  <c r="AA27" i="16"/>
  <c r="AA31" i="16"/>
  <c r="AA8" i="16"/>
  <c r="AA12" i="16"/>
  <c r="AA16" i="16"/>
  <c r="AA38" i="16"/>
  <c r="AA28" i="16"/>
  <c r="AA32" i="16"/>
  <c r="AA9" i="16"/>
  <c r="AA13" i="16"/>
  <c r="AA29" i="16"/>
  <c r="AA33" i="16"/>
  <c r="AA10" i="16"/>
  <c r="AA14" i="16"/>
  <c r="AA26" i="16"/>
  <c r="AA30" i="16"/>
  <c r="AA34" i="16"/>
  <c r="G36" i="16"/>
  <c r="G56" i="16"/>
  <c r="G23" i="16"/>
  <c r="M6" i="16"/>
  <c r="K17" i="16"/>
  <c r="E17" i="16"/>
  <c r="C36" i="16"/>
  <c r="G55" i="16"/>
  <c r="E36" i="16"/>
  <c r="E55" i="16"/>
  <c r="G17" i="16"/>
  <c r="E56" i="16"/>
  <c r="C17" i="16"/>
  <c r="C55" i="16"/>
  <c r="AB16" i="13"/>
  <c r="AB15" i="13"/>
  <c r="AB14" i="13"/>
  <c r="AB13" i="13"/>
  <c r="AB12" i="13"/>
  <c r="AB11" i="13"/>
  <c r="AB10" i="13"/>
  <c r="AB9" i="13"/>
  <c r="AB8" i="13"/>
  <c r="AB7" i="13"/>
  <c r="AA49" i="15"/>
  <c r="AA48" i="15"/>
  <c r="AA47" i="15"/>
  <c r="AA46" i="15"/>
  <c r="AA45" i="15"/>
  <c r="AA44" i="15"/>
  <c r="AA43" i="15"/>
  <c r="AA38" i="15"/>
  <c r="AA37" i="15"/>
  <c r="AA33" i="15"/>
  <c r="AA32" i="15"/>
  <c r="AA31" i="15"/>
  <c r="AA30" i="15"/>
  <c r="C15" i="17" s="1"/>
  <c r="G15" i="17" s="1"/>
  <c r="AA29" i="15"/>
  <c r="AA28" i="15"/>
  <c r="C13" i="17" s="1"/>
  <c r="G13" i="17" s="1"/>
  <c r="AA27" i="15"/>
  <c r="C12" i="17" s="1"/>
  <c r="G12" i="17" s="1"/>
  <c r="AA26" i="15"/>
  <c r="AA25" i="15"/>
  <c r="AA24" i="15"/>
  <c r="AA16" i="15"/>
  <c r="AA15" i="15"/>
  <c r="AA14" i="15"/>
  <c r="AA13" i="15"/>
  <c r="AA12" i="15"/>
  <c r="AA11" i="15"/>
  <c r="AA10" i="15"/>
  <c r="AA9" i="15"/>
  <c r="AA8" i="15"/>
  <c r="C10" i="17" s="1"/>
  <c r="AA7" i="15"/>
  <c r="C9" i="17" s="1"/>
  <c r="G9" i="17" s="1"/>
  <c r="C11" i="17" l="1"/>
  <c r="G11" i="17" s="1"/>
  <c r="AA17" i="15"/>
  <c r="G10" i="17"/>
  <c r="G58" i="16"/>
  <c r="AA17" i="16"/>
  <c r="AA55" i="16"/>
  <c r="AA36" i="16"/>
  <c r="O6" i="16"/>
  <c r="M17" i="16"/>
  <c r="E58" i="16"/>
  <c r="E68" i="16" s="1"/>
  <c r="AA34" i="15"/>
  <c r="Y34" i="15"/>
  <c r="Y17" i="15"/>
  <c r="M50" i="15"/>
  <c r="M34" i="15"/>
  <c r="M17" i="15"/>
  <c r="W34" i="15"/>
  <c r="W17" i="15"/>
  <c r="U34" i="15"/>
  <c r="U17" i="15"/>
  <c r="S34" i="15"/>
  <c r="S17" i="15"/>
  <c r="Q34" i="15"/>
  <c r="Q17" i="15"/>
  <c r="O34" i="15"/>
  <c r="O17" i="15"/>
  <c r="I50" i="15"/>
  <c r="I34" i="15"/>
  <c r="I7" i="15"/>
  <c r="I17" i="15" s="1"/>
  <c r="E39" i="15"/>
  <c r="E34" i="15"/>
  <c r="E17" i="15"/>
  <c r="K34" i="15"/>
  <c r="K17" i="15"/>
  <c r="G34" i="15"/>
  <c r="G17" i="15"/>
  <c r="C34" i="15"/>
  <c r="C17" i="15"/>
  <c r="AJ11" i="14"/>
  <c r="Y21" i="16" s="1"/>
  <c r="AJ7" i="14"/>
  <c r="Y19" i="16" s="1"/>
  <c r="L11" i="14"/>
  <c r="I22" i="16" s="1"/>
  <c r="L9" i="14"/>
  <c r="I21" i="16" s="1"/>
  <c r="L7" i="14"/>
  <c r="I19" i="16" s="1"/>
  <c r="E6" i="15"/>
  <c r="G6" i="15" s="1"/>
  <c r="I6" i="15" s="1"/>
  <c r="K6" i="15" s="1"/>
  <c r="M6" i="15" s="1"/>
  <c r="O6" i="15" s="1"/>
  <c r="Q6" i="15" s="1"/>
  <c r="S6" i="15" s="1"/>
  <c r="U6" i="15" s="1"/>
  <c r="W6" i="15" s="1"/>
  <c r="Y6" i="15" s="1"/>
  <c r="AJ20" i="13"/>
  <c r="AJ19" i="13"/>
  <c r="AJ18" i="13"/>
  <c r="AI20" i="13"/>
  <c r="AI19" i="13"/>
  <c r="AI18" i="13"/>
  <c r="AH20" i="13"/>
  <c r="AH19" i="13"/>
  <c r="AH18" i="13"/>
  <c r="AG20" i="13"/>
  <c r="AG19" i="13"/>
  <c r="AG18" i="13"/>
  <c r="AF20" i="13"/>
  <c r="AF19" i="13"/>
  <c r="AF18" i="13"/>
  <c r="AE20" i="13"/>
  <c r="AE19" i="13"/>
  <c r="AE18" i="13"/>
  <c r="G64" i="16" l="1"/>
  <c r="G67" i="16"/>
  <c r="G69" i="16"/>
  <c r="E69" i="16"/>
  <c r="E67" i="16"/>
  <c r="G68" i="16"/>
  <c r="C19" i="17"/>
  <c r="G19" i="17"/>
  <c r="AA40" i="15"/>
  <c r="I23" i="16"/>
  <c r="I56" i="16"/>
  <c r="E62" i="16"/>
  <c r="E64" i="16" s="1"/>
  <c r="Q6" i="16"/>
  <c r="S6" i="16" s="1"/>
  <c r="U6" i="16" s="1"/>
  <c r="W6" i="16" s="1"/>
  <c r="Y6" i="16" s="1"/>
  <c r="O17" i="16"/>
  <c r="AJ9" i="14"/>
  <c r="Y20" i="16" s="1"/>
  <c r="AA20" i="16" s="1"/>
  <c r="X7" i="14"/>
  <c r="Q19" i="16" s="1"/>
  <c r="C11" i="14"/>
  <c r="C22" i="16" s="1"/>
  <c r="C9" i="14"/>
  <c r="C21" i="16" s="1"/>
  <c r="I58" i="16" l="1"/>
  <c r="I68" i="16" s="1"/>
  <c r="X15" i="14"/>
  <c r="Y56" i="16"/>
  <c r="R9" i="14"/>
  <c r="M19" i="16"/>
  <c r="C15" i="14"/>
  <c r="C8" i="14" s="1"/>
  <c r="C23" i="16"/>
  <c r="C56" i="16"/>
  <c r="Q56" i="16"/>
  <c r="Q23" i="16"/>
  <c r="Y23" i="16"/>
  <c r="O15" i="14"/>
  <c r="AJ15" i="14"/>
  <c r="AJ10" i="14" s="1"/>
  <c r="X12" i="14"/>
  <c r="X10" i="14"/>
  <c r="L15" i="14"/>
  <c r="I48" i="13"/>
  <c r="I47" i="13"/>
  <c r="I46" i="13"/>
  <c r="I45" i="13"/>
  <c r="I44" i="13"/>
  <c r="E6" i="13"/>
  <c r="G6" i="13" s="1"/>
  <c r="I6" i="13" s="1"/>
  <c r="K6" i="13" s="1"/>
  <c r="M6" i="13" s="1"/>
  <c r="O6" i="13" s="1"/>
  <c r="Q6" i="13" s="1"/>
  <c r="S6" i="13" s="1"/>
  <c r="U6" i="13" s="1"/>
  <c r="W6" i="13" s="1"/>
  <c r="Y6" i="13" s="1"/>
  <c r="X8" i="14" l="1"/>
  <c r="Y58" i="16"/>
  <c r="Y68" i="16" s="1"/>
  <c r="Q58" i="16"/>
  <c r="Q68" i="16" s="1"/>
  <c r="I64" i="16"/>
  <c r="I69" i="16"/>
  <c r="I67" i="16"/>
  <c r="C10" i="14"/>
  <c r="C58" i="16"/>
  <c r="AA19" i="16"/>
  <c r="R11" i="14"/>
  <c r="M21" i="16"/>
  <c r="AA21" i="16" s="1"/>
  <c r="O8" i="14"/>
  <c r="O10" i="14"/>
  <c r="O12" i="14"/>
  <c r="AJ8" i="14"/>
  <c r="L8" i="14"/>
  <c r="L10" i="14"/>
  <c r="Q64" i="16" l="1"/>
  <c r="Q67" i="16"/>
  <c r="Q69" i="16"/>
  <c r="C69" i="16"/>
  <c r="C67" i="16"/>
  <c r="C68" i="16"/>
  <c r="Y64" i="16"/>
  <c r="Y67" i="16"/>
  <c r="Y69" i="16"/>
  <c r="M22" i="16"/>
  <c r="AA22" i="16" s="1"/>
  <c r="AA23" i="16" s="1"/>
  <c r="R15" i="14"/>
  <c r="C62" i="16"/>
  <c r="C64" i="16" s="1"/>
  <c r="AA61" i="16"/>
  <c r="AA62" i="16" s="1"/>
  <c r="M23" i="16" l="1"/>
  <c r="R8" i="14"/>
  <c r="AU15" i="14"/>
  <c r="R10" i="14"/>
  <c r="R12" i="14"/>
  <c r="M56" i="16"/>
  <c r="M58" i="16" l="1"/>
  <c r="AA56" i="16"/>
  <c r="M64" i="16" l="1"/>
  <c r="M69" i="16"/>
  <c r="M67" i="16"/>
  <c r="M68" i="16"/>
  <c r="AA58" i="16"/>
  <c r="AC55" i="16" l="1"/>
  <c r="AE55" i="16" s="1"/>
  <c r="AA69" i="16"/>
  <c r="AC69" i="16" s="1"/>
  <c r="AC68" i="16" s="1"/>
  <c r="AA67" i="16"/>
  <c r="AA68" i="16"/>
  <c r="AC57" i="16"/>
  <c r="AC56" i="16" s="1"/>
  <c r="AE56" i="16" s="1"/>
  <c r="AG56" i="16" l="1"/>
  <c r="G47" i="17"/>
  <c r="G20" i="17"/>
  <c r="G21" i="17" s="1"/>
  <c r="I9" i="17" s="1"/>
  <c r="AG55" i="16"/>
  <c r="AE57" i="16"/>
  <c r="I12" i="17" l="1"/>
  <c r="I16" i="17"/>
  <c r="I13" i="17"/>
  <c r="I17" i="17"/>
  <c r="I10" i="17"/>
  <c r="I14" i="17"/>
  <c r="I18" i="17"/>
  <c r="I11" i="17"/>
  <c r="I15" i="17"/>
  <c r="G33" i="17"/>
  <c r="G34" i="17" s="1"/>
  <c r="AG57" i="16"/>
  <c r="G18" i="21" l="1"/>
  <c r="K18" i="21" s="1"/>
  <c r="O18" i="21" s="1"/>
  <c r="G18" i="22"/>
  <c r="K18" i="22" s="1"/>
  <c r="O18" i="22" s="1"/>
  <c r="J18" i="20"/>
  <c r="L18" i="20" s="1"/>
  <c r="J38" i="20"/>
  <c r="J13" i="20"/>
  <c r="L13" i="20" s="1"/>
  <c r="J33" i="20"/>
  <c r="L33" i="20" s="1"/>
  <c r="J19" i="20"/>
  <c r="L19" i="20" s="1"/>
  <c r="J39" i="20"/>
  <c r="L39" i="20" s="1"/>
  <c r="J14" i="20"/>
  <c r="L14" i="20" s="1"/>
  <c r="J34" i="20"/>
  <c r="L34" i="20" s="1"/>
  <c r="J40" i="20"/>
  <c r="J20" i="20"/>
  <c r="L20" i="20" s="1"/>
  <c r="J15" i="20"/>
  <c r="L15" i="20" s="1"/>
  <c r="J35" i="20"/>
  <c r="L35" i="20" s="1"/>
  <c r="J21" i="20"/>
  <c r="L21" i="20" s="1"/>
  <c r="J41" i="20"/>
  <c r="L41" i="20" s="1"/>
  <c r="J36" i="20"/>
  <c r="L36" i="20" s="1"/>
  <c r="J16" i="20"/>
  <c r="L16" i="20" s="1"/>
  <c r="J17" i="20"/>
  <c r="L17" i="20" s="1"/>
  <c r="J37" i="20"/>
  <c r="L37" i="20" s="1"/>
  <c r="J32" i="20"/>
  <c r="L32" i="20" s="1"/>
  <c r="J12" i="20"/>
  <c r="L12" i="20" s="1"/>
  <c r="O19" i="9"/>
  <c r="Q19" i="9" s="1"/>
  <c r="K19" i="10"/>
  <c r="O19" i="11"/>
  <c r="K19" i="12"/>
  <c r="O20" i="9"/>
  <c r="O35" i="9" s="1"/>
  <c r="Q35" i="9" s="1"/>
  <c r="K20" i="12"/>
  <c r="K20" i="10"/>
  <c r="O20" i="11"/>
  <c r="O15" i="9"/>
  <c r="O30" i="9" s="1"/>
  <c r="Q30" i="9" s="1"/>
  <c r="K15" i="10"/>
  <c r="K15" i="12"/>
  <c r="O15" i="11"/>
  <c r="O21" i="9"/>
  <c r="O36" i="9" s="1"/>
  <c r="Q36" i="9" s="1"/>
  <c r="K21" i="10"/>
  <c r="K21" i="12"/>
  <c r="O21" i="11"/>
  <c r="O16" i="9"/>
  <c r="O31" i="9" s="1"/>
  <c r="Q31" i="9" s="1"/>
  <c r="K16" i="12"/>
  <c r="K34" i="12" s="1"/>
  <c r="O16" i="11"/>
  <c r="O31" i="11" s="1"/>
  <c r="K16" i="10"/>
  <c r="O22" i="9"/>
  <c r="Q22" i="9" s="1"/>
  <c r="O22" i="11"/>
  <c r="K22" i="10"/>
  <c r="K22" i="12"/>
  <c r="O17" i="9"/>
  <c r="Q17" i="9" s="1"/>
  <c r="O17" i="11"/>
  <c r="K17" i="10"/>
  <c r="K17" i="12"/>
  <c r="O18" i="9"/>
  <c r="Q18" i="9" s="1"/>
  <c r="O18" i="11"/>
  <c r="K18" i="10"/>
  <c r="K18" i="12"/>
  <c r="Q21" i="9"/>
  <c r="O21" i="7"/>
  <c r="O21" i="8"/>
  <c r="O19" i="8"/>
  <c r="O19" i="7"/>
  <c r="O20" i="8"/>
  <c r="O20" i="7"/>
  <c r="O15" i="8"/>
  <c r="O15" i="7"/>
  <c r="O16" i="7"/>
  <c r="O31" i="7" s="1"/>
  <c r="O16" i="8"/>
  <c r="O35" i="8" s="1"/>
  <c r="O22" i="7"/>
  <c r="O22" i="8"/>
  <c r="O17" i="7"/>
  <c r="O17" i="8"/>
  <c r="O18" i="8"/>
  <c r="O18" i="7"/>
  <c r="K18" i="17"/>
  <c r="Q24" i="4"/>
  <c r="Q19" i="6"/>
  <c r="Q19" i="4"/>
  <c r="O19" i="5"/>
  <c r="Q20" i="6"/>
  <c r="Q20" i="4"/>
  <c r="O20" i="5"/>
  <c r="Q15" i="4"/>
  <c r="Q15" i="6"/>
  <c r="O15" i="5"/>
  <c r="Q21" i="4"/>
  <c r="O21" i="5"/>
  <c r="Q21" i="6"/>
  <c r="Q16" i="6"/>
  <c r="Q16" i="4"/>
  <c r="Q36" i="4" s="1"/>
  <c r="O16" i="5"/>
  <c r="O22" i="5"/>
  <c r="Q22" i="6"/>
  <c r="Q22" i="4"/>
  <c r="Q17" i="4"/>
  <c r="O17" i="5"/>
  <c r="Q17" i="6"/>
  <c r="Q23" i="6"/>
  <c r="Q23" i="4"/>
  <c r="O18" i="5"/>
  <c r="Q18" i="6"/>
  <c r="Q18" i="4"/>
  <c r="K13" i="17"/>
  <c r="O19" i="1"/>
  <c r="Q19" i="3"/>
  <c r="S19" i="2"/>
  <c r="K15" i="17"/>
  <c r="Q21" i="3"/>
  <c r="S21" i="2"/>
  <c r="O21" i="1"/>
  <c r="K16" i="17"/>
  <c r="Q22" i="3"/>
  <c r="S22" i="2"/>
  <c r="O22" i="1"/>
  <c r="K14" i="17"/>
  <c r="S20" i="2"/>
  <c r="O20" i="1"/>
  <c r="Q20" i="3"/>
  <c r="K9" i="17"/>
  <c r="Q15" i="3"/>
  <c r="O15" i="1"/>
  <c r="S15" i="2"/>
  <c r="K10" i="17"/>
  <c r="O16" i="1"/>
  <c r="S16" i="2"/>
  <c r="Q16" i="3"/>
  <c r="K11" i="17"/>
  <c r="O17" i="1"/>
  <c r="Q17" i="3"/>
  <c r="S17" i="2"/>
  <c r="K17" i="17"/>
  <c r="Q23" i="3"/>
  <c r="Q39" i="3" s="1"/>
  <c r="K12" i="17"/>
  <c r="O18" i="1"/>
  <c r="Q18" i="3"/>
  <c r="S18" i="2"/>
  <c r="L22" i="20" l="1"/>
  <c r="L38" i="20"/>
  <c r="J50" i="20"/>
  <c r="L50" i="20" s="1"/>
  <c r="J51" i="20"/>
  <c r="L51" i="20" s="1"/>
  <c r="L40" i="20"/>
  <c r="Q15" i="9"/>
  <c r="O34" i="9"/>
  <c r="Q34" i="9" s="1"/>
  <c r="O37" i="9"/>
  <c r="Q37" i="9" s="1"/>
  <c r="O32" i="11"/>
  <c r="Q32" i="11" s="1"/>
  <c r="Q17" i="11"/>
  <c r="M21" i="10"/>
  <c r="K36" i="10"/>
  <c r="M36" i="10" s="1"/>
  <c r="M15" i="10"/>
  <c r="K30" i="10"/>
  <c r="M30" i="10" s="1"/>
  <c r="M19" i="10"/>
  <c r="K34" i="10"/>
  <c r="M34" i="10" s="1"/>
  <c r="O33" i="9"/>
  <c r="Q33" i="9" s="1"/>
  <c r="Q20" i="9"/>
  <c r="O32" i="9"/>
  <c r="Q32" i="9" s="1"/>
  <c r="Q16" i="9"/>
  <c r="M18" i="12"/>
  <c r="K36" i="12"/>
  <c r="M36" i="12" s="1"/>
  <c r="M17" i="12"/>
  <c r="K35" i="12"/>
  <c r="M35" i="12" s="1"/>
  <c r="K40" i="12"/>
  <c r="M40" i="12" s="1"/>
  <c r="M22" i="12"/>
  <c r="M16" i="10"/>
  <c r="K31" i="10"/>
  <c r="M31" i="10" s="1"/>
  <c r="Q21" i="11"/>
  <c r="O36" i="11"/>
  <c r="Q36" i="11" s="1"/>
  <c r="Q15" i="11"/>
  <c r="O30" i="11"/>
  <c r="Q30" i="11" s="1"/>
  <c r="Q20" i="11"/>
  <c r="O35" i="11"/>
  <c r="Q35" i="11" s="1"/>
  <c r="M19" i="12"/>
  <c r="K37" i="12"/>
  <c r="M37" i="12" s="1"/>
  <c r="M18" i="10"/>
  <c r="K33" i="10"/>
  <c r="M33" i="10" s="1"/>
  <c r="M17" i="10"/>
  <c r="K32" i="10"/>
  <c r="M32" i="10" s="1"/>
  <c r="M22" i="10"/>
  <c r="K37" i="10"/>
  <c r="M37" i="10" s="1"/>
  <c r="M21" i="12"/>
  <c r="K39" i="12"/>
  <c r="M39" i="12" s="1"/>
  <c r="M15" i="12"/>
  <c r="K33" i="12"/>
  <c r="M33" i="12" s="1"/>
  <c r="M20" i="10"/>
  <c r="K35" i="10"/>
  <c r="M35" i="10" s="1"/>
  <c r="O34" i="11"/>
  <c r="Q34" i="11" s="1"/>
  <c r="Q19" i="11"/>
  <c r="O33" i="11"/>
  <c r="Q33" i="11" s="1"/>
  <c r="Q18" i="11"/>
  <c r="O37" i="11"/>
  <c r="Q37" i="11" s="1"/>
  <c r="Q22" i="11"/>
  <c r="M20" i="12"/>
  <c r="K38" i="12"/>
  <c r="M38" i="12" s="1"/>
  <c r="Q22" i="8"/>
  <c r="O41" i="8"/>
  <c r="Q41" i="8" s="1"/>
  <c r="Q19" i="7"/>
  <c r="O34" i="7"/>
  <c r="Q34" i="7" s="1"/>
  <c r="Q22" i="7"/>
  <c r="O37" i="7"/>
  <c r="Q37" i="7" s="1"/>
  <c r="Q15" i="8"/>
  <c r="O34" i="8"/>
  <c r="Q34" i="8" s="1"/>
  <c r="Q19" i="8"/>
  <c r="O38" i="8"/>
  <c r="Q38" i="8" s="1"/>
  <c r="Q17" i="8"/>
  <c r="O36" i="8"/>
  <c r="Q36" i="8" s="1"/>
  <c r="Q20" i="7"/>
  <c r="O35" i="7"/>
  <c r="Q35" i="7" s="1"/>
  <c r="Q21" i="8"/>
  <c r="O40" i="8"/>
  <c r="Q40" i="8" s="1"/>
  <c r="Q18" i="7"/>
  <c r="O33" i="7"/>
  <c r="Q33" i="7" s="1"/>
  <c r="O30" i="7"/>
  <c r="Q30" i="7" s="1"/>
  <c r="Q15" i="7"/>
  <c r="Q18" i="8"/>
  <c r="O37" i="8"/>
  <c r="Q37" i="8" s="1"/>
  <c r="Q17" i="7"/>
  <c r="O32" i="7"/>
  <c r="Q32" i="7" s="1"/>
  <c r="Q20" i="8"/>
  <c r="O39" i="8"/>
  <c r="Q39" i="8" s="1"/>
  <c r="Q21" i="7"/>
  <c r="O36" i="7"/>
  <c r="Q36" i="7" s="1"/>
  <c r="S19" i="4"/>
  <c r="Q39" i="4"/>
  <c r="S39" i="4" s="1"/>
  <c r="S18" i="6"/>
  <c r="Q37" i="6"/>
  <c r="S37" i="6" s="1"/>
  <c r="S22" i="6"/>
  <c r="Q41" i="6"/>
  <c r="S41" i="6" s="1"/>
  <c r="Q35" i="6"/>
  <c r="S35" i="6" s="1"/>
  <c r="S16" i="6"/>
  <c r="Q15" i="5"/>
  <c r="O34" i="5"/>
  <c r="Q34" i="5" s="1"/>
  <c r="Q38" i="6"/>
  <c r="S38" i="6" s="1"/>
  <c r="S19" i="6"/>
  <c r="Q18" i="5"/>
  <c r="O37" i="5"/>
  <c r="Q37" i="5" s="1"/>
  <c r="O36" i="5"/>
  <c r="Q36" i="5" s="1"/>
  <c r="Q17" i="5"/>
  <c r="Q22" i="5"/>
  <c r="O41" i="5"/>
  <c r="Q41" i="5" s="1"/>
  <c r="Q40" i="6"/>
  <c r="S40" i="6" s="1"/>
  <c r="S21" i="6"/>
  <c r="Q34" i="6"/>
  <c r="S34" i="6" s="1"/>
  <c r="S15" i="6"/>
  <c r="Q39" i="6"/>
  <c r="S39" i="6" s="1"/>
  <c r="S20" i="6"/>
  <c r="S24" i="4"/>
  <c r="Q44" i="4"/>
  <c r="S44" i="4" s="1"/>
  <c r="S18" i="4"/>
  <c r="Q38" i="4"/>
  <c r="S38" i="4" s="1"/>
  <c r="Q42" i="6"/>
  <c r="S42" i="6" s="1"/>
  <c r="S23" i="6"/>
  <c r="S22" i="4"/>
  <c r="Q42" i="4"/>
  <c r="S42" i="4" s="1"/>
  <c r="S21" i="4"/>
  <c r="Q41" i="4"/>
  <c r="S41" i="4" s="1"/>
  <c r="Q20" i="5"/>
  <c r="O39" i="5"/>
  <c r="Q39" i="5" s="1"/>
  <c r="Q36" i="6"/>
  <c r="S36" i="6" s="1"/>
  <c r="S17" i="6"/>
  <c r="S20" i="4"/>
  <c r="Q40" i="4"/>
  <c r="S40" i="4" s="1"/>
  <c r="S23" i="4"/>
  <c r="Q43" i="4"/>
  <c r="S43" i="4" s="1"/>
  <c r="Q37" i="4"/>
  <c r="S37" i="4" s="1"/>
  <c r="S17" i="4"/>
  <c r="Q16" i="5"/>
  <c r="O35" i="5"/>
  <c r="Q35" i="5" s="1"/>
  <c r="O40" i="5"/>
  <c r="Q40" i="5" s="1"/>
  <c r="Q21" i="5"/>
  <c r="S15" i="4"/>
  <c r="Q35" i="4"/>
  <c r="S35" i="4" s="1"/>
  <c r="Q19" i="5"/>
  <c r="O38" i="5"/>
  <c r="Q38" i="5" s="1"/>
  <c r="K19" i="17"/>
  <c r="O36" i="1"/>
  <c r="Q36" i="1" s="1"/>
  <c r="Q17" i="1"/>
  <c r="Q16" i="1"/>
  <c r="O35" i="1"/>
  <c r="Q35" i="1" s="1"/>
  <c r="Q31" i="3"/>
  <c r="S31" i="3" s="1"/>
  <c r="S15" i="3"/>
  <c r="S42" i="2"/>
  <c r="U42" i="2" s="1"/>
  <c r="U20" i="2"/>
  <c r="Q38" i="3"/>
  <c r="S38" i="3" s="1"/>
  <c r="S22" i="3"/>
  <c r="Q37" i="3"/>
  <c r="S37" i="3" s="1"/>
  <c r="S21" i="3"/>
  <c r="Q19" i="1"/>
  <c r="O38" i="1"/>
  <c r="Q38" i="1" s="1"/>
  <c r="Q34" i="3"/>
  <c r="S34" i="3" s="1"/>
  <c r="S18" i="3"/>
  <c r="Q18" i="1"/>
  <c r="O37" i="1"/>
  <c r="Q37" i="1" s="1"/>
  <c r="S39" i="2"/>
  <c r="U39" i="2" s="1"/>
  <c r="U17" i="2"/>
  <c r="Q32" i="3"/>
  <c r="S32" i="3" s="1"/>
  <c r="S16" i="3"/>
  <c r="S37" i="2"/>
  <c r="U37" i="2" s="1"/>
  <c r="U15" i="2"/>
  <c r="Q36" i="3"/>
  <c r="S36" i="3" s="1"/>
  <c r="S20" i="3"/>
  <c r="O41" i="1"/>
  <c r="Q41" i="1" s="1"/>
  <c r="Q22" i="1"/>
  <c r="O40" i="1"/>
  <c r="Q40" i="1" s="1"/>
  <c r="Q21" i="1"/>
  <c r="S41" i="2"/>
  <c r="U41" i="2" s="1"/>
  <c r="U19" i="2"/>
  <c r="S30" i="2"/>
  <c r="U30" i="2" s="1"/>
  <c r="Q33" i="3"/>
  <c r="S33" i="3" s="1"/>
  <c r="S17" i="3"/>
  <c r="S38" i="2"/>
  <c r="U38" i="2" s="1"/>
  <c r="U16" i="2"/>
  <c r="Q15" i="1"/>
  <c r="O34" i="1"/>
  <c r="Q34" i="1" s="1"/>
  <c r="O39" i="1"/>
  <c r="Q39" i="1" s="1"/>
  <c r="Q20" i="1"/>
  <c r="S44" i="2"/>
  <c r="U44" i="2" s="1"/>
  <c r="U22" i="2"/>
  <c r="S43" i="2"/>
  <c r="U43" i="2" s="1"/>
  <c r="U21" i="2"/>
  <c r="S19" i="3"/>
  <c r="Q35" i="3"/>
  <c r="S35" i="3" s="1"/>
  <c r="S40" i="2"/>
  <c r="U40" i="2" s="1"/>
  <c r="U18" i="2"/>
  <c r="I26" i="17"/>
  <c r="I30" i="17"/>
  <c r="I27" i="17"/>
  <c r="I31" i="17"/>
  <c r="I28" i="17"/>
  <c r="I25" i="17"/>
  <c r="I29" i="17"/>
  <c r="J65" i="20" l="1"/>
  <c r="L65" i="20" s="1"/>
  <c r="J68" i="20"/>
  <c r="L68" i="20" s="1"/>
  <c r="J64" i="20"/>
  <c r="L64" i="20" s="1"/>
  <c r="J62" i="20"/>
  <c r="L62" i="20" s="1"/>
  <c r="J67" i="20"/>
  <c r="L67" i="20" s="1"/>
  <c r="J63" i="20"/>
  <c r="L63" i="20" s="1"/>
  <c r="J66" i="20"/>
  <c r="L66" i="20" s="1"/>
  <c r="L42" i="20"/>
  <c r="L52" i="20"/>
  <c r="L58" i="20" s="1"/>
  <c r="K30" i="17"/>
  <c r="K31" i="17"/>
  <c r="K28" i="17"/>
  <c r="Q50" i="6"/>
  <c r="S50" i="6" s="1"/>
  <c r="K26" i="17"/>
  <c r="Q48" i="6"/>
  <c r="S48" i="6" s="1"/>
  <c r="K29" i="17"/>
  <c r="Q51" i="6"/>
  <c r="S51" i="6" s="1"/>
  <c r="K27" i="17"/>
  <c r="Q49" i="6"/>
  <c r="S49" i="6" s="1"/>
  <c r="K25" i="17"/>
  <c r="Q47" i="6"/>
  <c r="S47" i="6" s="1"/>
  <c r="L69" i="20" l="1"/>
  <c r="K32" i="17"/>
  <c r="V35" i="17" s="1"/>
  <c r="AM25" i="14" l="1"/>
  <c r="AN24" i="14" l="1"/>
  <c r="AN22" i="14"/>
  <c r="AN23" i="14"/>
  <c r="C43" i="17"/>
  <c r="G40" i="17"/>
  <c r="G43" i="17" s="1"/>
  <c r="G46" i="17" s="1"/>
  <c r="G48" i="17" s="1"/>
  <c r="I45" i="17" l="1"/>
  <c r="I42" i="17"/>
  <c r="I41" i="17"/>
  <c r="I40" i="17"/>
  <c r="G15" i="22" l="1"/>
  <c r="K15" i="22"/>
  <c r="K19" i="22" s="1"/>
  <c r="K20" i="22" s="1"/>
  <c r="K21" i="22" s="1"/>
  <c r="K23" i="22" s="1"/>
  <c r="E31" i="22" s="1"/>
  <c r="G31" i="22" s="1"/>
  <c r="I31" i="22" s="1"/>
  <c r="O15" i="22"/>
  <c r="G19" i="22"/>
  <c r="G20" i="22" s="1"/>
  <c r="G21" i="22" s="1"/>
  <c r="G23" i="22" s="1"/>
  <c r="E30" i="22" s="1"/>
  <c r="G30" i="22" s="1"/>
  <c r="O43" i="8"/>
  <c r="Q43" i="8" s="1"/>
  <c r="O43" i="5"/>
  <c r="Q43" i="5" s="1"/>
  <c r="Q46" i="4"/>
  <c r="S46" i="4" s="1"/>
  <c r="O39" i="9"/>
  <c r="Q39" i="9" s="1"/>
  <c r="K42" i="12"/>
  <c r="M42" i="12" s="1"/>
  <c r="O39" i="7"/>
  <c r="Q39" i="7" s="1"/>
  <c r="S46" i="2"/>
  <c r="U46" i="2" s="1"/>
  <c r="J44" i="20"/>
  <c r="L44" i="20" s="1"/>
  <c r="L45" i="20" s="1"/>
  <c r="L46" i="20" s="1"/>
  <c r="K45" i="17"/>
  <c r="Q44" i="6"/>
  <c r="S44" i="6" s="1"/>
  <c r="Q41" i="3"/>
  <c r="S41" i="3" s="1"/>
  <c r="K39" i="10"/>
  <c r="M39" i="10" s="1"/>
  <c r="O43" i="1"/>
  <c r="Q43" i="1" s="1"/>
  <c r="O39" i="11"/>
  <c r="Q39" i="11" s="1"/>
  <c r="K25" i="10"/>
  <c r="M25" i="10" s="1"/>
  <c r="J24" i="20"/>
  <c r="K28" i="12"/>
  <c r="M28" i="12" s="1"/>
  <c r="Q30" i="4"/>
  <c r="S30" i="4" s="1"/>
  <c r="Q29" i="6"/>
  <c r="S29" i="6" s="1"/>
  <c r="K40" i="17"/>
  <c r="O25" i="11"/>
  <c r="Q25" i="11" s="1"/>
  <c r="O25" i="9"/>
  <c r="Q25" i="9" s="1"/>
  <c r="S25" i="2"/>
  <c r="Q26" i="3"/>
  <c r="S26" i="3" s="1"/>
  <c r="O28" i="1"/>
  <c r="Q28" i="1" s="1"/>
  <c r="O29" i="8"/>
  <c r="Q29" i="8" s="1"/>
  <c r="G15" i="21"/>
  <c r="O25" i="7"/>
  <c r="Q25" i="7" s="1"/>
  <c r="O29" i="5"/>
  <c r="Q29" i="5" s="1"/>
  <c r="J25" i="20"/>
  <c r="Q30" i="6"/>
  <c r="S30" i="6" s="1"/>
  <c r="K26" i="10"/>
  <c r="M26" i="10" s="1"/>
  <c r="Q27" i="3"/>
  <c r="S27" i="3" s="1"/>
  <c r="O30" i="5"/>
  <c r="Q30" i="5" s="1"/>
  <c r="O26" i="9"/>
  <c r="Q26" i="9" s="1"/>
  <c r="O26" i="11"/>
  <c r="Q26" i="11" s="1"/>
  <c r="K41" i="17"/>
  <c r="K15" i="21"/>
  <c r="Q31" i="4"/>
  <c r="S31" i="4" s="1"/>
  <c r="O30" i="8"/>
  <c r="Q30" i="8" s="1"/>
  <c r="S26" i="2"/>
  <c r="K29" i="12"/>
  <c r="M29" i="12" s="1"/>
  <c r="O29" i="1"/>
  <c r="Q29" i="1" s="1"/>
  <c r="O26" i="7"/>
  <c r="Q26" i="7" s="1"/>
  <c r="Q28" i="3"/>
  <c r="S28" i="3" s="1"/>
  <c r="O31" i="5"/>
  <c r="Q31" i="5" s="1"/>
  <c r="O15" i="21"/>
  <c r="O27" i="11"/>
  <c r="Q27" i="11" s="1"/>
  <c r="O27" i="7"/>
  <c r="Q27" i="7" s="1"/>
  <c r="O30" i="1"/>
  <c r="Q30" i="1" s="1"/>
  <c r="O31" i="8"/>
  <c r="Q31" i="8" s="1"/>
  <c r="Q32" i="4"/>
  <c r="S32" i="4" s="1"/>
  <c r="K42" i="17"/>
  <c r="J26" i="20"/>
  <c r="O27" i="9"/>
  <c r="Q27" i="9" s="1"/>
  <c r="K27" i="10"/>
  <c r="M27" i="10" s="1"/>
  <c r="Q31" i="6"/>
  <c r="S31" i="6" s="1"/>
  <c r="K30" i="12"/>
  <c r="M30" i="12" s="1"/>
  <c r="S27" i="2"/>
  <c r="O19" i="22" l="1"/>
  <c r="O20" i="22" s="1"/>
  <c r="O21" i="22" s="1"/>
  <c r="O23" i="22" s="1"/>
  <c r="E32" i="22" s="1"/>
  <c r="G32" i="22" s="1"/>
  <c r="I32" i="22" s="1"/>
  <c r="I30" i="22"/>
  <c r="G34" i="22"/>
  <c r="G36" i="22" s="1"/>
  <c r="K46" i="17"/>
  <c r="K50" i="17" s="1"/>
  <c r="K53" i="17" s="1"/>
  <c r="S34" i="2"/>
  <c r="U34" i="2" s="1"/>
  <c r="U27" i="2"/>
  <c r="S33" i="2"/>
  <c r="U33" i="2" s="1"/>
  <c r="U26" i="2"/>
  <c r="G19" i="21"/>
  <c r="G20" i="21" s="1"/>
  <c r="G21" i="21" s="1"/>
  <c r="O19" i="21"/>
  <c r="O20" i="21" s="1"/>
  <c r="O21" i="21" s="1"/>
  <c r="O23" i="21" s="1"/>
  <c r="E32" i="21" s="1"/>
  <c r="G32" i="21" s="1"/>
  <c r="K19" i="21"/>
  <c r="K20" i="21" s="1"/>
  <c r="K21" i="21" s="1"/>
  <c r="K23" i="21" s="1"/>
  <c r="E31" i="21" s="1"/>
  <c r="G31" i="21" s="1"/>
  <c r="U25" i="2"/>
  <c r="S32" i="2"/>
  <c r="U32" i="2" s="1"/>
  <c r="L47" i="20"/>
  <c r="I34" i="22" l="1"/>
  <c r="K30" i="22" s="1"/>
  <c r="G23" i="21"/>
  <c r="E30" i="21" s="1"/>
  <c r="G30" i="21" s="1"/>
  <c r="I31" i="21"/>
  <c r="AO23" i="14"/>
  <c r="AQ23" i="14" s="1"/>
  <c r="I32" i="21"/>
  <c r="AO24" i="14"/>
  <c r="AQ24" i="14" s="1"/>
  <c r="G34" i="21" l="1"/>
  <c r="G36" i="21" s="1"/>
  <c r="I30" i="21"/>
  <c r="I34" i="21" s="1"/>
  <c r="K32" i="21" s="1"/>
  <c r="AO22" i="14"/>
  <c r="AQ22" i="14" s="1"/>
  <c r="K32" i="22"/>
  <c r="K31" i="22"/>
  <c r="M42" i="17"/>
  <c r="H26" i="20"/>
  <c r="L26" i="20" s="1"/>
  <c r="M41" i="17"/>
  <c r="H25" i="20"/>
  <c r="K34" i="22" l="1"/>
  <c r="AO25" i="14"/>
  <c r="M40" i="17"/>
  <c r="H24" i="20"/>
  <c r="L24" i="20" s="1"/>
  <c r="L25" i="20"/>
  <c r="K31" i="21"/>
  <c r="K30" i="21"/>
  <c r="AQ25" i="14"/>
  <c r="H27" i="20" l="1"/>
  <c r="H28" i="20" s="1"/>
  <c r="L27" i="20"/>
  <c r="L28" i="20" s="1"/>
  <c r="L29" i="20" s="1"/>
  <c r="AS24" i="14"/>
  <c r="AS23" i="14"/>
  <c r="AS22" i="14"/>
  <c r="K34" i="21"/>
  <c r="L73" i="20" l="1"/>
  <c r="L76" i="20" s="1"/>
</calcChain>
</file>

<file path=xl/sharedStrings.xml><?xml version="1.0" encoding="utf-8"?>
<sst xmlns="http://schemas.openxmlformats.org/spreadsheetml/2006/main" count="1307" uniqueCount="357">
  <si>
    <t>Rate Schedule - Water</t>
  </si>
  <si>
    <t>Florida Public Service Commission</t>
  </si>
  <si>
    <t>Company:  Cypress Lakes Utilities Inc.</t>
  </si>
  <si>
    <t>Schedule: E-1</t>
  </si>
  <si>
    <t>Docket No.: 160101-WS</t>
  </si>
  <si>
    <t>Page 1 of 2</t>
  </si>
  <si>
    <t>Test Year Ended:  12/31/2015</t>
  </si>
  <si>
    <t>Preparer: Jared Deason</t>
  </si>
  <si>
    <t>Water [ X ] or Sewer [ ]</t>
  </si>
  <si>
    <t>Interim [ ] Final [x]</t>
  </si>
  <si>
    <t>Explanation:  Provide a schedule of present and proposed rates.  State residential water cap, if one exists.</t>
  </si>
  <si>
    <t>(1)</t>
  </si>
  <si>
    <t>Test Year</t>
  </si>
  <si>
    <t>Present</t>
  </si>
  <si>
    <t>Line</t>
  </si>
  <si>
    <t>Bill</t>
  </si>
  <si>
    <t xml:space="preserve">Rates </t>
  </si>
  <si>
    <t>Rates</t>
  </si>
  <si>
    <t>Proposed</t>
  </si>
  <si>
    <t>No</t>
  </si>
  <si>
    <t>Code</t>
  </si>
  <si>
    <t>Class/Meter Size</t>
  </si>
  <si>
    <t>12.18.2014</t>
  </si>
  <si>
    <t>9.7.2015</t>
  </si>
  <si>
    <t>Residential</t>
  </si>
  <si>
    <t>5/8" x 3/4"</t>
  </si>
  <si>
    <t>3/4"</t>
  </si>
  <si>
    <t xml:space="preserve">1" </t>
  </si>
  <si>
    <t>1-1/2"</t>
  </si>
  <si>
    <t>2"</t>
  </si>
  <si>
    <t>3"</t>
  </si>
  <si>
    <t>4"</t>
  </si>
  <si>
    <t>6"</t>
  </si>
  <si>
    <t>Gallonage Charge per 1,000 Gallons</t>
  </si>
  <si>
    <t>0 - 6,000 gallons</t>
  </si>
  <si>
    <t>6,001 - 12,000 gallons</t>
  </si>
  <si>
    <t>Over 12,000 gallons</t>
  </si>
  <si>
    <t>General Service</t>
  </si>
  <si>
    <t xml:space="preserve">5/8" </t>
  </si>
  <si>
    <t>Company:  Labrador Utilities Inc.</t>
  </si>
  <si>
    <t>12.13.2014</t>
  </si>
  <si>
    <t>6.24.2015</t>
  </si>
  <si>
    <t>Irrigation</t>
  </si>
  <si>
    <t>General &amp; Bulk Service</t>
  </si>
  <si>
    <t>Company:  Lake Placid Utilities Inc.</t>
  </si>
  <si>
    <t>7.31.2014</t>
  </si>
  <si>
    <t>2.23.2015</t>
  </si>
  <si>
    <t>7.27.2015</t>
  </si>
  <si>
    <t>8"</t>
  </si>
  <si>
    <t>Company:  Lake Utility Services, Inc.</t>
  </si>
  <si>
    <t>12.15.2013</t>
  </si>
  <si>
    <t>8.1.2015</t>
  </si>
  <si>
    <t>12.17.2015</t>
  </si>
  <si>
    <t>Residential and Multi-Residential</t>
  </si>
  <si>
    <t>10"</t>
  </si>
  <si>
    <t>0 - 5,000 gallons</t>
  </si>
  <si>
    <t>5,001 - 10,000 gallons</t>
  </si>
  <si>
    <t>Over 10,000 gallons</t>
  </si>
  <si>
    <t>Private Fire Protetion</t>
  </si>
  <si>
    <t>12"</t>
  </si>
  <si>
    <t>Company: Utilities Inc. of Pennbrooke</t>
  </si>
  <si>
    <t>0 - 3,000 gallons</t>
  </si>
  <si>
    <t>3,001 - 6,000 gallons</t>
  </si>
  <si>
    <t xml:space="preserve">Company:  Sanlando Utilities Corp. </t>
  </si>
  <si>
    <t>10.13.2014</t>
  </si>
  <si>
    <t>7.1.2015</t>
  </si>
  <si>
    <t>9.29.2015</t>
  </si>
  <si>
    <t>Over 15,000 gallons</t>
  </si>
  <si>
    <t>General Service/Bulk Service</t>
  </si>
  <si>
    <t>Company:  UIF-Marion County</t>
  </si>
  <si>
    <t>11.17.2014</t>
  </si>
  <si>
    <t>10.27.2015</t>
  </si>
  <si>
    <t>Company:  UIF-Orange County</t>
  </si>
  <si>
    <t>6,001 - 8,000 gallons</t>
  </si>
  <si>
    <t>8,001 - 16,000 gallons</t>
  </si>
  <si>
    <t>Over 16,000 gallons</t>
  </si>
  <si>
    <t>Company:  UIF-Pasco County-Orangewood</t>
  </si>
  <si>
    <t>Company:  UIF-Pasco County-Summertree</t>
  </si>
  <si>
    <t>Company:  UIF-Pinellas County</t>
  </si>
  <si>
    <t>Company:  UIF-Seminole County</t>
  </si>
  <si>
    <t>0 - 8,000 gallons</t>
  </si>
  <si>
    <t>5/8"</t>
  </si>
  <si>
    <t>1"</t>
  </si>
  <si>
    <t>RESIDENTIAL</t>
  </si>
  <si>
    <t>GENERAL SERVICE</t>
  </si>
  <si>
    <t>Meter size</t>
  </si>
  <si>
    <t>Cypress</t>
  </si>
  <si>
    <t>0-6k</t>
  </si>
  <si>
    <t>6-12k</t>
  </si>
  <si>
    <t>+12k</t>
  </si>
  <si>
    <t>1.5"</t>
  </si>
  <si>
    <t>All</t>
  </si>
  <si>
    <t>Labrador</t>
  </si>
  <si>
    <t>IRRIGATION</t>
  </si>
  <si>
    <t>Lake</t>
  </si>
  <si>
    <t>Placid</t>
  </si>
  <si>
    <t>LUSI</t>
  </si>
  <si>
    <t>0-5K</t>
  </si>
  <si>
    <t>5-10K</t>
  </si>
  <si>
    <t>+10K</t>
  </si>
  <si>
    <t>PRIVATE FIRE</t>
  </si>
  <si>
    <t>0-3k</t>
  </si>
  <si>
    <t>3-6k</t>
  </si>
  <si>
    <t>Annual</t>
  </si>
  <si>
    <t>Sanlando</t>
  </si>
  <si>
    <t>6-15k</t>
  </si>
  <si>
    <t>+15k</t>
  </si>
  <si>
    <t>Marion</t>
  </si>
  <si>
    <t>Orange</t>
  </si>
  <si>
    <t>6-8k</t>
  </si>
  <si>
    <t>8-16k</t>
  </si>
  <si>
    <t>+16k</t>
  </si>
  <si>
    <t>Pasco</t>
  </si>
  <si>
    <t>Orangewd</t>
  </si>
  <si>
    <t>Pinellas</t>
  </si>
  <si>
    <t>Seminole</t>
  </si>
  <si>
    <t>0-8k</t>
  </si>
  <si>
    <t>Current Water Rates per Month</t>
  </si>
  <si>
    <t>Pennbrke</t>
  </si>
  <si>
    <t>Smmrtree</t>
  </si>
  <si>
    <t>Blk 1</t>
  </si>
  <si>
    <t>Blk 2</t>
  </si>
  <si>
    <t>Blk 3</t>
  </si>
  <si>
    <t>Seminole (12)</t>
  </si>
  <si>
    <t>Pinellas (11)</t>
  </si>
  <si>
    <t>Smmrtree (10)</t>
  </si>
  <si>
    <t>Orangewd (9)</t>
  </si>
  <si>
    <t>Orange (8)</t>
  </si>
  <si>
    <t>Marion (7)</t>
  </si>
  <si>
    <t>Sanlando (6)</t>
  </si>
  <si>
    <t>Pennbrke (5)</t>
  </si>
  <si>
    <t>LUSI (4)</t>
  </si>
  <si>
    <t>Lk Placid (3)</t>
  </si>
  <si>
    <t>Labrador (2)</t>
  </si>
  <si>
    <t>Cypress (1)</t>
  </si>
  <si>
    <t>Water Usage (tg)</t>
  </si>
  <si>
    <t>Number of Water Bills</t>
  </si>
  <si>
    <t>TOTALS</t>
  </si>
  <si>
    <t>Avg</t>
  </si>
  <si>
    <t>Factors</t>
  </si>
  <si>
    <t>Base Revenue</t>
  </si>
  <si>
    <t>Usage Revenue</t>
  </si>
  <si>
    <t>System-Base</t>
  </si>
  <si>
    <t>System-Usage</t>
  </si>
  <si>
    <t>System-Fire</t>
  </si>
  <si>
    <t>Total Metered Revenue</t>
  </si>
  <si>
    <t>E-2 Total</t>
  </si>
  <si>
    <t>(Incl MRS)</t>
  </si>
  <si>
    <t xml:space="preserve">Water Revenue at Current Rates </t>
  </si>
  <si>
    <t>Less: Misc. &amp; Adj.</t>
  </si>
  <si>
    <t>UIF Total</t>
  </si>
  <si>
    <t>Usage - Block 1</t>
  </si>
  <si>
    <t>Block 1A</t>
  </si>
  <si>
    <t>Block 2</t>
  </si>
  <si>
    <t>Block 3</t>
  </si>
  <si>
    <t>Rev. Reqmt</t>
  </si>
  <si>
    <t>Increase</t>
  </si>
  <si>
    <t>Utilities, Inc. of Florida</t>
  </si>
  <si>
    <t>Single Tariff Pricing</t>
  </si>
  <si>
    <t>All Gallons</t>
  </si>
  <si>
    <t>Block 1 Gallons</t>
  </si>
  <si>
    <t>Block 2 Gallons</t>
  </si>
  <si>
    <t>Block 3 Gallons</t>
  </si>
  <si>
    <t>Bills</t>
  </si>
  <si>
    <t>Factored</t>
  </si>
  <si>
    <t>Meter</t>
  </si>
  <si>
    <t>Water Sales Bills</t>
  </si>
  <si>
    <t>Fire Service Bills</t>
  </si>
  <si>
    <t>Revenue Requirement</t>
  </si>
  <si>
    <t>Revenue</t>
  </si>
  <si>
    <t>Produced</t>
  </si>
  <si>
    <t>Rate for Factor 1.0</t>
  </si>
  <si>
    <t>BASE SERVICE CHARGE CALCULATION:</t>
  </si>
  <si>
    <t>1)  Metered Service</t>
  </si>
  <si>
    <t>2) Private Fire Service</t>
  </si>
  <si>
    <t>VOLUMETRIC RATE CALCULATION:</t>
  </si>
  <si>
    <t>Residential Usage</t>
  </si>
  <si>
    <t>General Service Usage</t>
  </si>
  <si>
    <t>Gallons</t>
  </si>
  <si>
    <t>Usage</t>
  </si>
  <si>
    <t>Total Revenues</t>
  </si>
  <si>
    <t>Difference</t>
  </si>
  <si>
    <t>STP</t>
  </si>
  <si>
    <t>Consolidated</t>
  </si>
  <si>
    <t xml:space="preserve">Percentage </t>
  </si>
  <si>
    <t>Change</t>
  </si>
  <si>
    <t>from Present</t>
  </si>
  <si>
    <t xml:space="preserve"> 6,001 - 15,000 gallons</t>
  </si>
  <si>
    <t xml:space="preserve">3/4" </t>
  </si>
  <si>
    <t>%  of Resid.</t>
  </si>
  <si>
    <t>gpd/individual</t>
  </si>
  <si>
    <t>days</t>
  </si>
  <si>
    <t>Individuals/household</t>
  </si>
  <si>
    <t>avg monthly use/household</t>
  </si>
  <si>
    <t>annual use/household</t>
  </si>
  <si>
    <t>Proposed Blocks</t>
  </si>
  <si>
    <t>Included</t>
  </si>
  <si>
    <t>above</t>
  </si>
  <si>
    <t>Res. Irrig</t>
  </si>
  <si>
    <t>Revenue Schedule at Test Year Rates - Proof of Revenue</t>
  </si>
  <si>
    <t>Schedule E-2</t>
  </si>
  <si>
    <t>Water [x]  Sewer [ ]</t>
  </si>
  <si>
    <t>Explanation:  Provide a calculation of revenues at present and proposed rates using the billing analysis.  Explain any differences between these revenues and booked revenues. If a rate change occurred during the test year, a revenue calculation must be made for each period.</t>
  </si>
  <si>
    <t xml:space="preserve">Total Billable </t>
  </si>
  <si>
    <t>Gallons (in 000's)</t>
  </si>
  <si>
    <t>Line No.</t>
  </si>
  <si>
    <t>Bill Code</t>
  </si>
  <si>
    <t>5/8" Residential</t>
  </si>
  <si>
    <t>3/4" Residential</t>
  </si>
  <si>
    <t xml:space="preserve">1” Residential </t>
  </si>
  <si>
    <t>1.5” Residential</t>
  </si>
  <si>
    <t>2” Residential</t>
  </si>
  <si>
    <t>3” Residential</t>
  </si>
  <si>
    <t>4” Residential</t>
  </si>
  <si>
    <t>6” Residential</t>
  </si>
  <si>
    <t>8” Residential</t>
  </si>
  <si>
    <t>10” Residential</t>
  </si>
  <si>
    <t>Total Residential Service  Base Charge</t>
  </si>
  <si>
    <t>Consumption Charge (per 1,000 Gallons)</t>
  </si>
  <si>
    <t>Total Residential Service Consumption</t>
  </si>
  <si>
    <t>Total Residential Service</t>
  </si>
  <si>
    <t>Average Residential Bill</t>
  </si>
  <si>
    <t>General Service -  Base Charge</t>
  </si>
  <si>
    <t>5/8” General Service</t>
  </si>
  <si>
    <t>3/4” General Service</t>
  </si>
  <si>
    <t>1” General Service</t>
  </si>
  <si>
    <t>1.5” General Service</t>
  </si>
  <si>
    <t>2” General Service</t>
  </si>
  <si>
    <t>3” General Service</t>
  </si>
  <si>
    <t>4"General Service</t>
  </si>
  <si>
    <t>6” General Service</t>
  </si>
  <si>
    <t>8” General Service</t>
  </si>
  <si>
    <t>10” General Service</t>
  </si>
  <si>
    <t>Total General Service Base Facility Charges</t>
  </si>
  <si>
    <t>Total General Service Consumption</t>
  </si>
  <si>
    <t>Total General Service</t>
  </si>
  <si>
    <t>Average General Service Bill</t>
  </si>
  <si>
    <t>Bulk Service -  Base Charge</t>
  </si>
  <si>
    <t>4” Bulk Service</t>
  </si>
  <si>
    <t>8” Bulk Service</t>
  </si>
  <si>
    <t>Total Bulk Service Base Facility Charges</t>
  </si>
  <si>
    <t>Total Bulk Service Consumption</t>
  </si>
  <si>
    <t>Total Bulk Service</t>
  </si>
  <si>
    <t>Average Bulk Service Bill</t>
  </si>
  <si>
    <t>Private Fire Protection</t>
  </si>
  <si>
    <t>1.5" Private Fire Line</t>
  </si>
  <si>
    <t>2" Private Fire Line</t>
  </si>
  <si>
    <t>4" Private Fire Line</t>
  </si>
  <si>
    <t>6" Private Fire Line</t>
  </si>
  <si>
    <t>8" Private Fire Line</t>
  </si>
  <si>
    <t>10" Private Fire Line</t>
  </si>
  <si>
    <t>12" Private Fire Line</t>
  </si>
  <si>
    <t>Other Miscellaneous Revenues</t>
  </si>
  <si>
    <t>Adjustment to reclass Miscellaneous Revenues</t>
  </si>
  <si>
    <t>Total Other Revenues</t>
  </si>
  <si>
    <t>Adjusted Test Year/ Annualized / Proposed Revenues</t>
  </si>
  <si>
    <t xml:space="preserve">Total Pro Forma Bills </t>
  </si>
  <si>
    <t>Pro Forma Proposed Revenue</t>
  </si>
  <si>
    <t>Residential &amp; Multi Res. - Base Charge</t>
  </si>
  <si>
    <t>Residential (0-8,000 gallons)</t>
  </si>
  <si>
    <t>Residential (8,001-16,000 gallons)</t>
  </si>
  <si>
    <t>Residential (over 16,000 gallons)</t>
  </si>
  <si>
    <t>Company: Utilities, Inc. of Florida - Consolidated Systems</t>
  </si>
  <si>
    <t>General Service (All Gallons)</t>
  </si>
  <si>
    <t>Page 1 of 3</t>
  </si>
  <si>
    <t>Total Bills</t>
  </si>
  <si>
    <t>Avg # of Bills</t>
  </si>
  <si>
    <t>use</t>
  </si>
  <si>
    <t xml:space="preserve">Consolidated </t>
  </si>
  <si>
    <t>Single Tariff (STP) Rates</t>
  </si>
  <si>
    <t>Rev Reqmt</t>
  </si>
  <si>
    <t>Misc Revenue</t>
  </si>
  <si>
    <t>Billied Rev.</t>
  </si>
  <si>
    <t>Water Rate Development Schedule</t>
  </si>
  <si>
    <t>tg</t>
  </si>
  <si>
    <t>Average Use</t>
  </si>
  <si>
    <t>Block</t>
  </si>
  <si>
    <t>Within Block</t>
  </si>
  <si>
    <t>Factor Use</t>
  </si>
  <si>
    <t>Tier 1</t>
  </si>
  <si>
    <t>0-8 tg</t>
  </si>
  <si>
    <t>GPD</t>
  </si>
  <si>
    <t>Tier 2</t>
  </si>
  <si>
    <t>next 8 tg</t>
  </si>
  <si>
    <t>avg household</t>
  </si>
  <si>
    <t>Tier 3</t>
  </si>
  <si>
    <t>Over 16 tg</t>
  </si>
  <si>
    <t>avg day</t>
  </si>
  <si>
    <t>avg month</t>
  </si>
  <si>
    <t>TOTAL:</t>
  </si>
  <si>
    <t>Usage Rate</t>
  </si>
  <si>
    <t>Base Chg</t>
  </si>
  <si>
    <t>Usage Chg</t>
  </si>
  <si>
    <t>Repression Factor</t>
  </si>
  <si>
    <t>(Based on 10% increase in rates causes 2% reduction in usage.)</t>
  </si>
  <si>
    <t>Conservation Usage Calculation:</t>
  </si>
  <si>
    <t>Sch. E-12W</t>
  </si>
  <si>
    <t>Consol.</t>
  </si>
  <si>
    <t>Repression</t>
  </si>
  <si>
    <t xml:space="preserve">Usage </t>
  </si>
  <si>
    <t>Pro Forma Consolidated</t>
  </si>
  <si>
    <t>Factor</t>
  </si>
  <si>
    <t>Reduction</t>
  </si>
  <si>
    <t xml:space="preserve">Repression </t>
  </si>
  <si>
    <t>Adj. Usage</t>
  </si>
  <si>
    <t>Utilities, Inc. of Florida - Sanlando</t>
  </si>
  <si>
    <t>Test Year Ending 12/31/15</t>
  </si>
  <si>
    <t>Utilities, Inc. of Florida - LUSI</t>
  </si>
  <si>
    <t>Docket No. 160101 - WS</t>
  </si>
  <si>
    <t>Docket No. 160101 -WS</t>
  </si>
  <si>
    <t>Exhibit JFG-Rate Design</t>
  </si>
  <si>
    <t>Schedule S-1</t>
  </si>
  <si>
    <t>Schedule W-1</t>
  </si>
  <si>
    <t>EXHIBIT JFG  - RATE DESIGN</t>
  </si>
  <si>
    <t>Consolidated Rates</t>
  </si>
  <si>
    <t>Revenue Check</t>
  </si>
  <si>
    <t>REVENUE AT CURRENT RATES (Sum of components above)</t>
  </si>
  <si>
    <t>Schedule W-2</t>
  </si>
  <si>
    <t>Regression Analysis</t>
  </si>
  <si>
    <t>Schedule W-3</t>
  </si>
  <si>
    <t>Schedule W-4</t>
  </si>
  <si>
    <t>Schedule W-5</t>
  </si>
  <si>
    <t>Schedule W-6</t>
  </si>
  <si>
    <t>Schedule W-7</t>
  </si>
  <si>
    <t>Development of Single Tariff Pricing</t>
  </si>
  <si>
    <t>CONTENTS</t>
  </si>
  <si>
    <t>Water Rate Development</t>
  </si>
  <si>
    <t>Total UIF</t>
  </si>
  <si>
    <t>Single Tariff Pricing - Water Rate Development Schedule</t>
  </si>
  <si>
    <t>Water Revenue at Current Rates - Summary Table</t>
  </si>
  <si>
    <t>Number of Water Bills - Summary Table</t>
  </si>
  <si>
    <t>Water Usage - Summary Table</t>
  </si>
  <si>
    <t>Current Monthly Water Rate - Summary Table</t>
  </si>
  <si>
    <t>Regression Analysis - UIF, Sanlando</t>
  </si>
  <si>
    <t>Regression Analysis - UIF, LUSI</t>
  </si>
  <si>
    <t>Single Tariff Pricing - Sewer Rate Development Schedule</t>
  </si>
  <si>
    <t>Schedule S-2</t>
  </si>
  <si>
    <t>Sewer Revenue at Current Rates - Summary Table</t>
  </si>
  <si>
    <t>Schedule S-3</t>
  </si>
  <si>
    <t>Number of Sewer Bills - Summary Table</t>
  </si>
  <si>
    <t>Schedule S-4</t>
  </si>
  <si>
    <t>Sewer Usage - Summary Table</t>
  </si>
  <si>
    <t>Schedule S-5</t>
  </si>
  <si>
    <t>Current Monthly Sewer Rate - Summary Table</t>
  </si>
  <si>
    <t>Docket No.: 160101 - WS</t>
  </si>
  <si>
    <t>Water Rates Comparison</t>
  </si>
  <si>
    <t>Water Bill Comparisons (Based on Avg. Gallons per Bill)</t>
  </si>
  <si>
    <t>Exhibit JFG 1 - Water Rate Design</t>
  </si>
  <si>
    <t>Exhibit JFG 2 - Sewer Rate Design</t>
  </si>
  <si>
    <t>Exhibit JFG 3 - Rate and Bill Comparison for Water</t>
  </si>
  <si>
    <t>Exhibit JFG 4 - Rate and Bill Comparison for Sewer</t>
  </si>
  <si>
    <t>Sewer Rates Comparison</t>
  </si>
  <si>
    <t>Sewer Bill Comparisons (Based on Avg. Gallons per Bill)</t>
  </si>
  <si>
    <t>Schedule W-A</t>
  </si>
  <si>
    <t>Schedule W-B</t>
  </si>
  <si>
    <t>Schedule S-A</t>
  </si>
  <si>
    <t>Schedule S-B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</si>
</sst>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mm/dd/yy;@"/>
    <numFmt numFmtId="166" formatCode="&quot;$&quot;#,##0.00"/>
    <numFmt numFmtId="167" formatCode="0.0"/>
    <numFmt numFmtId="168" formatCode="0.0%"/>
    <numFmt numFmtId="169" formatCode="_(* #,##0_);_(* \(#,##0\);_(* &quot;-&quot;??_);_(@_)"/>
    <numFmt numFmtId="170" formatCode="_(* #,##0.0_);_(* \(#,##0.0\);_(* &quot;-&quot;??_);_(@_)"/>
    <numFmt numFmtId="171" formatCode="_(&quot;$&quot;* #,##0_);_(&quot;$&quot;* \(#,##0\);_(&quot;$&quot;* &quot;-&quot;??_);_(@_)"/>
    <numFmt numFmtId="172" formatCode="&quot;$&quot;#,##0.000_);\(&quot;$&quot;#,##0.000\)"/>
    <numFmt numFmtId="173" formatCode="#########"/>
    <numFmt numFmtId="174" formatCode="##"/>
    <numFmt numFmtId="175" formatCode="mm/yy"/>
    <numFmt numFmtId="176" formatCode="_([$€-2]* #,##0.00_);_([$€-2]* \(#,##0.00\);_([$€-2]* &quot;-&quot;??_)"/>
    <numFmt numFmtId="177" formatCode="#,##0.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u val="singleAccounting"/>
      <sz val="9"/>
      <name val="Calibri"/>
      <family val="2"/>
    </font>
    <font>
      <b/>
      <u/>
      <sz val="9"/>
      <name val="Calibri"/>
      <family val="2"/>
    </font>
    <font>
      <sz val="10"/>
      <name val="Geneva"/>
    </font>
    <font>
      <sz val="9"/>
      <color rgb="FFFF0000"/>
      <name val="Calibri"/>
      <family val="2"/>
    </font>
    <font>
      <strike/>
      <sz val="9"/>
      <name val="Calibri"/>
      <family val="2"/>
    </font>
    <font>
      <sz val="10"/>
      <name val="Courier"/>
      <family val="3"/>
    </font>
    <font>
      <u/>
      <sz val="9"/>
      <name val="Calibri"/>
      <family val="2"/>
    </font>
    <font>
      <sz val="9"/>
      <color indexed="12"/>
      <name val="Calibri"/>
      <family val="2"/>
    </font>
    <font>
      <sz val="10"/>
      <name val="Arial"/>
      <family val="2"/>
    </font>
    <font>
      <b/>
      <strike/>
      <sz val="9"/>
      <name val="Calibri"/>
      <family val="2"/>
    </font>
    <font>
      <b/>
      <sz val="9"/>
      <color rgb="FFFF0000"/>
      <name val="Calibri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name val="Calibri"/>
      <family val="2"/>
    </font>
    <font>
      <i/>
      <strike/>
      <sz val="9"/>
      <name val="Calibri"/>
      <family val="2"/>
    </font>
    <font>
      <i/>
      <sz val="9"/>
      <color rgb="FFFF0000"/>
      <name val="Calibri"/>
      <family val="2"/>
    </font>
    <font>
      <b/>
      <i/>
      <u/>
      <sz val="9"/>
      <name val="Calibri"/>
      <family val="2"/>
    </font>
    <font>
      <sz val="9"/>
      <color theme="1"/>
      <name val="Calibri"/>
      <family val="2"/>
      <scheme val="minor"/>
    </font>
    <font>
      <sz val="10"/>
      <name val="Garmond (W1)"/>
    </font>
    <font>
      <b/>
      <sz val="10"/>
      <name val="Garmond (W1)"/>
    </font>
    <font>
      <b/>
      <sz val="9"/>
      <name val="Bookman Old Style"/>
      <family val="1"/>
    </font>
    <font>
      <b/>
      <sz val="9"/>
      <name val="Calibri"/>
      <family val="2"/>
      <scheme val="minor"/>
    </font>
    <font>
      <sz val="9"/>
      <name val="Bookman Old Style"/>
      <family val="1"/>
    </font>
    <font>
      <b/>
      <sz val="10"/>
      <name val="Garmond (W1)"/>
      <family val="1"/>
    </font>
    <font>
      <sz val="9"/>
      <name val="Calibri"/>
      <family val="2"/>
      <scheme val="minor"/>
    </font>
    <font>
      <sz val="10"/>
      <name val="Bookman Old Style"/>
      <family val="1"/>
    </font>
    <font>
      <sz val="10"/>
      <name val="Genev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Georgia"/>
      <family val="2"/>
    </font>
    <font>
      <sz val="9"/>
      <color theme="1"/>
      <name val="Georgia"/>
      <family val="2"/>
    </font>
    <font>
      <sz val="12"/>
      <name val="Arial"/>
      <family val="2"/>
    </font>
    <font>
      <sz val="12"/>
      <name val="SWISS"/>
    </font>
    <font>
      <b/>
      <sz val="10"/>
      <name val="Arial"/>
      <family val="2"/>
    </font>
    <font>
      <i/>
      <sz val="10"/>
      <name val="Arial"/>
      <family val="2"/>
    </font>
    <font>
      <sz val="16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</borders>
  <cellStyleXfs count="26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9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  <xf numFmtId="0" fontId="6" fillId="0" borderId="0"/>
    <xf numFmtId="0" fontId="27" fillId="0" borderId="0"/>
    <xf numFmtId="0" fontId="9" fillId="0" borderId="0"/>
    <xf numFmtId="41" fontId="32" fillId="0" borderId="0" applyFont="0" applyAlignment="0">
      <alignment horizontal="centerContinuous"/>
    </xf>
    <xf numFmtId="8" fontId="6" fillId="0" borderId="0" applyFont="0" applyFill="0" applyBorder="0" applyAlignment="0" applyProtection="0"/>
    <xf numFmtId="37" fontId="34" fillId="0" borderId="0"/>
    <xf numFmtId="42" fontId="32" fillId="0" borderId="0" applyFont="0" applyAlignment="0">
      <alignment horizontal="centerContinuous"/>
    </xf>
    <xf numFmtId="0" fontId="27" fillId="0" borderId="0"/>
    <xf numFmtId="173" fontId="34" fillId="0" borderId="0"/>
    <xf numFmtId="173" fontId="34" fillId="0" borderId="0"/>
    <xf numFmtId="174" fontId="35" fillId="0" borderId="0" applyFont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32" fillId="0" borderId="0" applyFont="0" applyAlignment="0">
      <alignment horizontal="centerContinuous"/>
    </xf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2" fillId="0" borderId="0" applyFont="0" applyAlignment="0">
      <alignment horizontal="centerContinuous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1" fontId="32" fillId="0" borderId="0" applyFont="0" applyAlignment="0">
      <alignment horizontal="centerContinuous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2" fillId="0" borderId="0" applyFont="0" applyAlignment="0">
      <alignment horizontal="centerContinuous"/>
    </xf>
    <xf numFmtId="43" fontId="1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8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32" fillId="0" borderId="0" applyFont="0" applyAlignment="0">
      <alignment horizontal="centerContinuous"/>
    </xf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2" fontId="32" fillId="0" borderId="0" applyFont="0" applyAlignment="0">
      <alignment horizontal="centerContinuous"/>
    </xf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8" fontId="6" fillId="0" borderId="0" applyFont="0" applyFill="0" applyBorder="0" applyAlignment="0" applyProtection="0"/>
    <xf numFmtId="42" fontId="32" fillId="0" borderId="0" applyFont="0" applyAlignment="0">
      <alignment horizontal="centerContinuous"/>
    </xf>
    <xf numFmtId="44" fontId="12" fillId="0" borderId="0" applyFont="0" applyFill="0" applyBorder="0" applyAlignment="0" applyProtection="0"/>
    <xf numFmtId="44" fontId="15" fillId="0" borderId="0" applyFont="0" applyFill="0" applyBorder="0" applyAlignment="0" applyProtection="0"/>
    <xf numFmtId="8" fontId="6" fillId="0" borderId="0" applyFont="0" applyFill="0" applyBorder="0" applyAlignment="0" applyProtection="0"/>
    <xf numFmtId="14" fontId="6" fillId="0" borderId="0"/>
    <xf numFmtId="175" fontId="34" fillId="0" borderId="0" applyFont="0" applyAlignment="0"/>
    <xf numFmtId="17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27" fillId="0" borderId="0" applyProtection="0"/>
    <xf numFmtId="0" fontId="1" fillId="0" borderId="0"/>
    <xf numFmtId="0" fontId="38" fillId="0" borderId="0"/>
    <xf numFmtId="0" fontId="39" fillId="0" borderId="0"/>
    <xf numFmtId="0" fontId="1" fillId="0" borderId="0"/>
    <xf numFmtId="0" fontId="9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40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9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40" fillId="0" borderId="0"/>
    <xf numFmtId="0" fontId="15" fillId="0" borderId="0"/>
    <xf numFmtId="0" fontId="15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3" borderId="10" applyNumberFormat="0" applyFont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1" fillId="0" borderId="0"/>
  </cellStyleXfs>
  <cellXfs count="298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39" fontId="2" fillId="0" borderId="0" xfId="0" applyNumberFormat="1" applyFont="1" applyProtection="1"/>
    <xf numFmtId="0" fontId="2" fillId="0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1" xfId="0" applyFont="1" applyBorder="1"/>
    <xf numFmtId="49" fontId="2" fillId="0" borderId="1" xfId="0" applyNumberFormat="1" applyFont="1" applyBorder="1"/>
    <xf numFmtId="164" fontId="2" fillId="0" borderId="0" xfId="0" applyNumberFormat="1" applyFon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41" fontId="2" fillId="0" borderId="2" xfId="1" applyNumberFormat="1" applyFont="1" applyBorder="1" applyAlignment="1">
      <alignment horizontal="center"/>
    </xf>
    <xf numFmtId="49" fontId="2" fillId="0" borderId="2" xfId="1" applyNumberFormat="1" applyFont="1" applyBorder="1" applyAlignment="1">
      <alignment horizontal="center"/>
    </xf>
    <xf numFmtId="41" fontId="4" fillId="0" borderId="2" xfId="1" applyNumberFormat="1" applyFont="1" applyBorder="1" applyAlignment="1">
      <alignment horizontal="center"/>
    </xf>
    <xf numFmtId="165" fontId="2" fillId="0" borderId="3" xfId="0" applyNumberFormat="1" applyFont="1" applyFill="1" applyBorder="1" applyAlignment="1">
      <alignment horizontal="center" vertical="center" wrapText="1"/>
    </xf>
    <xf numFmtId="41" fontId="2" fillId="0" borderId="2" xfId="1" quotePrefix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9" fontId="5" fillId="0" borderId="0" xfId="0" applyNumberFormat="1" applyFont="1"/>
    <xf numFmtId="39" fontId="3" fillId="0" borderId="0" xfId="0" applyNumberFormat="1" applyFont="1" applyProtection="1"/>
    <xf numFmtId="49" fontId="3" fillId="0" borderId="0" xfId="3" quotePrefix="1" applyNumberFormat="1" applyFont="1" applyFill="1" applyAlignment="1">
      <alignment horizontal="left"/>
    </xf>
    <xf numFmtId="0" fontId="3" fillId="0" borderId="0" xfId="0" applyFont="1" applyAlignment="1">
      <alignment horizontal="left" indent="2"/>
    </xf>
    <xf numFmtId="4" fontId="3" fillId="2" borderId="0" xfId="2" applyNumberFormat="1" applyFont="1" applyFill="1" applyAlignment="1"/>
    <xf numFmtId="4" fontId="7" fillId="0" borderId="0" xfId="2" applyNumberFormat="1" applyFont="1" applyFill="1" applyAlignment="1"/>
    <xf numFmtId="4" fontId="3" fillId="0" borderId="0" xfId="2" applyNumberFormat="1" applyFont="1" applyFill="1" applyAlignment="1"/>
    <xf numFmtId="166" fontId="3" fillId="0" borderId="0" xfId="0" applyNumberFormat="1" applyFont="1" applyAlignment="1" applyProtection="1"/>
    <xf numFmtId="49" fontId="3" fillId="0" borderId="0" xfId="0" applyNumberFormat="1" applyFont="1"/>
    <xf numFmtId="49" fontId="3" fillId="0" borderId="0" xfId="3" applyNumberFormat="1" applyFont="1" applyFill="1" applyAlignment="1">
      <alignment horizontal="left"/>
    </xf>
    <xf numFmtId="0" fontId="3" fillId="0" borderId="0" xfId="0" quotePrefix="1" applyFont="1" applyAlignment="1">
      <alignment horizontal="left" indent="3"/>
    </xf>
    <xf numFmtId="166" fontId="3" fillId="0" borderId="0" xfId="2" applyNumberFormat="1" applyFont="1" applyAlignment="1"/>
    <xf numFmtId="4" fontId="3" fillId="0" borderId="0" xfId="0" applyNumberFormat="1" applyFont="1" applyFill="1" applyAlignment="1"/>
    <xf numFmtId="0" fontId="3" fillId="0" borderId="0" xfId="3" applyFont="1" applyFill="1" applyAlignment="1">
      <alignment horizontal="left"/>
    </xf>
    <xf numFmtId="8" fontId="3" fillId="2" borderId="0" xfId="2" applyNumberFormat="1" applyFont="1" applyFill="1" applyAlignment="1"/>
    <xf numFmtId="166" fontId="7" fillId="0" borderId="0" xfId="0" applyNumberFormat="1" applyFont="1" applyAlignment="1"/>
    <xf numFmtId="166" fontId="3" fillId="0" borderId="0" xfId="0" applyNumberFormat="1" applyFont="1" applyAlignment="1"/>
    <xf numFmtId="166" fontId="3" fillId="2" borderId="0" xfId="0" applyNumberFormat="1" applyFont="1" applyFill="1" applyAlignment="1"/>
    <xf numFmtId="0" fontId="8" fillId="0" borderId="0" xfId="0" applyFont="1" applyFill="1" applyAlignment="1">
      <alignment horizontal="left" indent="1"/>
    </xf>
    <xf numFmtId="8" fontId="7" fillId="0" borderId="0" xfId="2" applyNumberFormat="1" applyFont="1" applyFill="1" applyAlignment="1">
      <alignment horizontal="right"/>
    </xf>
    <xf numFmtId="8" fontId="3" fillId="0" borderId="0" xfId="2" applyNumberFormat="1" applyFont="1" applyFill="1" applyAlignment="1">
      <alignment horizontal="right"/>
    </xf>
    <xf numFmtId="49" fontId="5" fillId="0" borderId="0" xfId="3" applyNumberFormat="1" applyFont="1" applyFill="1" applyAlignment="1">
      <alignment horizontal="left"/>
    </xf>
    <xf numFmtId="41" fontId="3" fillId="0" borderId="0" xfId="1" quotePrefix="1" applyNumberFormat="1" applyFont="1" applyAlignment="1">
      <alignment horizontal="left" indent="3"/>
    </xf>
    <xf numFmtId="166" fontId="7" fillId="0" borderId="0" xfId="1" quotePrefix="1" applyNumberFormat="1" applyFont="1" applyAlignment="1"/>
    <xf numFmtId="166" fontId="3" fillId="0" borderId="0" xfId="1" quotePrefix="1" applyNumberFormat="1" applyFont="1" applyAlignment="1"/>
    <xf numFmtId="0" fontId="3" fillId="0" borderId="0" xfId="0" quotePrefix="1" applyFont="1"/>
    <xf numFmtId="8" fontId="7" fillId="0" borderId="0" xfId="2" applyNumberFormat="1" applyFont="1" applyFill="1" applyAlignment="1"/>
    <xf numFmtId="8" fontId="3" fillId="0" borderId="0" xfId="2" applyNumberFormat="1" applyFont="1" applyFill="1" applyAlignment="1"/>
    <xf numFmtId="0" fontId="3" fillId="0" borderId="0" xfId="0" quotePrefix="1" applyFont="1" applyAlignment="1">
      <alignment horizontal="left" indent="4"/>
    </xf>
    <xf numFmtId="43" fontId="3" fillId="0" borderId="0" xfId="0" applyNumberFormat="1" applyFont="1" applyProtection="1"/>
    <xf numFmtId="0" fontId="3" fillId="0" borderId="0" xfId="0" applyFont="1" applyAlignment="1">
      <alignment horizontal="centerContinuous"/>
    </xf>
    <xf numFmtId="39" fontId="3" fillId="0" borderId="0" xfId="0" applyNumberFormat="1" applyFont="1" applyAlignment="1" applyProtection="1">
      <alignment horizontal="centerContinuous"/>
    </xf>
    <xf numFmtId="49" fontId="3" fillId="0" borderId="0" xfId="4" applyNumberFormat="1" applyFont="1" applyFill="1" applyAlignment="1">
      <alignment horizontal="left"/>
    </xf>
    <xf numFmtId="49" fontId="10" fillId="0" borderId="0" xfId="3" applyNumberFormat="1" applyFont="1" applyFill="1" applyAlignment="1">
      <alignment horizontal="left"/>
    </xf>
    <xf numFmtId="5" fontId="3" fillId="0" borderId="0" xfId="0" applyNumberFormat="1" applyFont="1" applyProtection="1"/>
    <xf numFmtId="0" fontId="11" fillId="0" borderId="0" xfId="0" applyFont="1" applyProtection="1">
      <protection locked="0"/>
    </xf>
    <xf numFmtId="49" fontId="11" fillId="0" borderId="0" xfId="0" applyNumberFormat="1" applyFont="1" applyProtection="1">
      <protection locked="0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8" fontId="3" fillId="2" borderId="0" xfId="2" applyNumberFormat="1" applyFont="1" applyFill="1" applyAlignment="1">
      <alignment horizontal="right"/>
    </xf>
    <xf numFmtId="0" fontId="3" fillId="0" borderId="0" xfId="0" applyFont="1" applyFill="1" applyAlignment="1"/>
    <xf numFmtId="39" fontId="3" fillId="0" borderId="0" xfId="0" applyNumberFormat="1" applyFont="1"/>
    <xf numFmtId="165" fontId="14" fillId="0" borderId="3" xfId="0" applyNumberFormat="1" applyFont="1" applyFill="1" applyBorder="1" applyAlignment="1">
      <alignment horizontal="center" vertical="center" wrapText="1"/>
    </xf>
    <xf numFmtId="49" fontId="7" fillId="0" borderId="0" xfId="3" quotePrefix="1" applyNumberFormat="1" applyFont="1" applyFill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Continuous"/>
    </xf>
    <xf numFmtId="165" fontId="2" fillId="0" borderId="4" xfId="0" applyNumberFormat="1" applyFont="1" applyFill="1" applyBorder="1" applyAlignment="1">
      <alignment horizontal="center" vertical="center" wrapText="1"/>
    </xf>
    <xf numFmtId="165" fontId="14" fillId="0" borderId="4" xfId="0" applyNumberFormat="1" applyFont="1" applyFill="1" applyBorder="1" applyAlignment="1">
      <alignment horizontal="center" vertical="center" wrapText="1"/>
    </xf>
    <xf numFmtId="166" fontId="3" fillId="0" borderId="0" xfId="0" applyNumberFormat="1" applyFont="1"/>
    <xf numFmtId="0" fontId="16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166" fontId="3" fillId="0" borderId="0" xfId="1" quotePrefix="1" applyNumberFormat="1" applyFont="1" applyFill="1" applyAlignment="1"/>
    <xf numFmtId="166" fontId="3" fillId="0" borderId="0" xfId="0" applyNumberFormat="1" applyFont="1" applyFill="1" applyAlignment="1"/>
    <xf numFmtId="0" fontId="0" fillId="0" borderId="0" xfId="0" quotePrefix="1" applyFill="1" applyAlignment="1">
      <alignment horizontal="right"/>
    </xf>
    <xf numFmtId="0" fontId="0" fillId="0" borderId="0" xfId="0" applyFill="1" applyAlignment="1">
      <alignment horizontal="left"/>
    </xf>
    <xf numFmtId="167" fontId="0" fillId="0" borderId="0" xfId="0" applyNumberFormat="1" applyFill="1"/>
    <xf numFmtId="167" fontId="17" fillId="0" borderId="0" xfId="0" applyNumberFormat="1" applyFont="1" applyFill="1"/>
    <xf numFmtId="9" fontId="0" fillId="0" borderId="0" xfId="12" applyFont="1" applyFill="1"/>
    <xf numFmtId="168" fontId="0" fillId="0" borderId="0" xfId="12" applyNumberFormat="1" applyFont="1" applyFill="1"/>
    <xf numFmtId="0" fontId="0" fillId="0" borderId="4" xfId="0" applyFill="1" applyBorder="1" applyAlignment="1">
      <alignment horizontal="center"/>
    </xf>
    <xf numFmtId="169" fontId="3" fillId="0" borderId="0" xfId="1" applyNumberFormat="1" applyFont="1" applyFill="1" applyBorder="1" applyAlignment="1"/>
    <xf numFmtId="169" fontId="18" fillId="0" borderId="0" xfId="1" applyNumberFormat="1" applyFont="1" applyFill="1" applyAlignment="1"/>
    <xf numFmtId="10" fontId="19" fillId="0" borderId="0" xfId="12" applyNumberFormat="1" applyFont="1" applyFill="1" applyAlignment="1"/>
    <xf numFmtId="169" fontId="0" fillId="0" borderId="0" xfId="0" applyNumberFormat="1" applyFill="1"/>
    <xf numFmtId="43" fontId="0" fillId="0" borderId="0" xfId="1" applyFont="1" applyFill="1"/>
    <xf numFmtId="0" fontId="0" fillId="0" borderId="0" xfId="0" quotePrefix="1" applyFill="1" applyAlignment="1">
      <alignment horizontal="center"/>
    </xf>
    <xf numFmtId="0" fontId="0" fillId="0" borderId="4" xfId="0" applyFill="1" applyBorder="1" applyAlignment="1">
      <alignment horizontal="center"/>
    </xf>
    <xf numFmtId="3" fontId="3" fillId="0" borderId="0" xfId="2" applyNumberFormat="1" applyFont="1" applyFill="1" applyAlignment="1"/>
    <xf numFmtId="3" fontId="17" fillId="0" borderId="0" xfId="0" applyNumberFormat="1" applyFont="1" applyFill="1"/>
    <xf numFmtId="3" fontId="0" fillId="0" borderId="0" xfId="0" applyNumberFormat="1" applyFill="1"/>
    <xf numFmtId="3" fontId="3" fillId="0" borderId="0" xfId="0" applyNumberFormat="1" applyFont="1" applyFill="1" applyAlignment="1"/>
    <xf numFmtId="3" fontId="7" fillId="0" borderId="0" xfId="2" applyNumberFormat="1" applyFont="1" applyFill="1" applyAlignment="1"/>
    <xf numFmtId="3" fontId="3" fillId="0" borderId="0" xfId="2" applyNumberFormat="1" applyFont="1" applyFill="1" applyAlignment="1">
      <alignment horizontal="right"/>
    </xf>
    <xf numFmtId="3" fontId="3" fillId="0" borderId="5" xfId="2" applyNumberFormat="1" applyFont="1" applyFill="1" applyBorder="1" applyAlignment="1"/>
    <xf numFmtId="3" fontId="3" fillId="0" borderId="0" xfId="2" applyNumberFormat="1" applyFont="1" applyFill="1" applyBorder="1" applyAlignment="1"/>
    <xf numFmtId="168" fontId="20" fillId="0" borderId="0" xfId="12" applyNumberFormat="1" applyFont="1" applyFill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167" fontId="0" fillId="0" borderId="0" xfId="0" applyNumberFormat="1"/>
    <xf numFmtId="3" fontId="0" fillId="0" borderId="5" xfId="0" applyNumberFormat="1" applyBorder="1"/>
    <xf numFmtId="3" fontId="20" fillId="0" borderId="6" xfId="0" applyNumberFormat="1" applyFont="1" applyFill="1" applyBorder="1"/>
    <xf numFmtId="3" fontId="3" fillId="0" borderId="7" xfId="2" applyNumberFormat="1" applyFont="1" applyFill="1" applyBorder="1" applyAlignment="1"/>
    <xf numFmtId="170" fontId="0" fillId="0" borderId="0" xfId="1" applyNumberFormat="1" applyFont="1" applyFill="1"/>
    <xf numFmtId="3" fontId="0" fillId="0" borderId="0" xfId="0" applyNumberFormat="1" applyBorder="1"/>
    <xf numFmtId="44" fontId="0" fillId="0" borderId="0" xfId="2" applyNumberFormat="1" applyFont="1" applyBorder="1"/>
    <xf numFmtId="44" fontId="0" fillId="0" borderId="0" xfId="2" applyFont="1"/>
    <xf numFmtId="0" fontId="21" fillId="0" borderId="0" xfId="0" applyFont="1"/>
    <xf numFmtId="3" fontId="0" fillId="0" borderId="0" xfId="0" applyNumberFormat="1" applyAlignment="1">
      <alignment horizontal="center"/>
    </xf>
    <xf numFmtId="2" fontId="0" fillId="0" borderId="0" xfId="0" applyNumberFormat="1" applyFill="1"/>
    <xf numFmtId="37" fontId="0" fillId="0" borderId="0" xfId="0" applyNumberFormat="1"/>
    <xf numFmtId="37" fontId="0" fillId="0" borderId="5" xfId="0" applyNumberFormat="1" applyBorder="1"/>
    <xf numFmtId="10" fontId="19" fillId="0" borderId="0" xfId="12" applyNumberFormat="1" applyFont="1" applyFill="1" applyBorder="1" applyAlignment="1"/>
    <xf numFmtId="0" fontId="0" fillId="0" borderId="0" xfId="0" applyFont="1" applyAlignment="1">
      <alignment horizontal="left"/>
    </xf>
    <xf numFmtId="0" fontId="0" fillId="2" borderId="0" xfId="0" applyFill="1"/>
    <xf numFmtId="0" fontId="0" fillId="0" borderId="0" xfId="0" applyAlignment="1">
      <alignment horizontal="right"/>
    </xf>
    <xf numFmtId="2" fontId="0" fillId="0" borderId="0" xfId="0" applyNumberFormat="1"/>
    <xf numFmtId="44" fontId="3" fillId="0" borderId="0" xfId="0" applyNumberFormat="1" applyFont="1"/>
    <xf numFmtId="166" fontId="7" fillId="0" borderId="0" xfId="0" applyNumberFormat="1" applyFont="1" applyFill="1" applyAlignment="1"/>
    <xf numFmtId="41" fontId="2" fillId="0" borderId="0" xfId="1" applyNumberFormat="1" applyFont="1" applyBorder="1" applyAlignment="1">
      <alignment horizontal="center"/>
    </xf>
    <xf numFmtId="41" fontId="2" fillId="0" borderId="4" xfId="1" applyNumberFormat="1" applyFont="1" applyBorder="1" applyAlignment="1">
      <alignment horizontal="center"/>
    </xf>
    <xf numFmtId="168" fontId="3" fillId="0" borderId="0" xfId="12" applyNumberFormat="1" applyFont="1"/>
    <xf numFmtId="0" fontId="2" fillId="0" borderId="0" xfId="0" applyFont="1" applyBorder="1"/>
    <xf numFmtId="3" fontId="7" fillId="0" borderId="0" xfId="2" applyNumberFormat="1" applyFont="1" applyFill="1" applyBorder="1" applyAlignment="1"/>
    <xf numFmtId="169" fontId="7" fillId="0" borderId="0" xfId="1" applyNumberFormat="1" applyFont="1" applyFill="1" applyAlignment="1"/>
    <xf numFmtId="0" fontId="2" fillId="0" borderId="4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Fill="1" applyAlignment="1">
      <alignment horizontal="left" indent="1"/>
    </xf>
    <xf numFmtId="0" fontId="22" fillId="0" borderId="0" xfId="0" quotePrefix="1" applyFont="1" applyAlignment="1">
      <alignment horizontal="left" indent="3"/>
    </xf>
    <xf numFmtId="166" fontId="24" fillId="0" borderId="0" xfId="0" applyNumberFormat="1" applyFont="1" applyAlignment="1"/>
    <xf numFmtId="8" fontId="24" fillId="0" borderId="0" xfId="2" applyNumberFormat="1" applyFont="1" applyFill="1" applyAlignment="1">
      <alignment horizontal="right"/>
    </xf>
    <xf numFmtId="8" fontId="22" fillId="0" borderId="0" xfId="2" applyNumberFormat="1" applyFont="1" applyFill="1" applyAlignment="1">
      <alignment horizontal="right"/>
    </xf>
    <xf numFmtId="44" fontId="22" fillId="0" borderId="0" xfId="0" applyNumberFormat="1" applyFont="1"/>
    <xf numFmtId="0" fontId="22" fillId="0" borderId="0" xfId="0" applyFont="1"/>
    <xf numFmtId="49" fontId="25" fillId="0" borderId="0" xfId="3" applyNumberFormat="1" applyFont="1" applyFill="1" applyAlignment="1">
      <alignment horizontal="left"/>
    </xf>
    <xf numFmtId="41" fontId="22" fillId="0" borderId="0" xfId="1" quotePrefix="1" applyNumberFormat="1" applyFont="1" applyAlignment="1">
      <alignment horizontal="left" indent="3"/>
    </xf>
    <xf numFmtId="166" fontId="24" fillId="0" borderId="0" xfId="1" quotePrefix="1" applyNumberFormat="1" applyFont="1" applyAlignment="1"/>
    <xf numFmtId="166" fontId="22" fillId="0" borderId="0" xfId="1" quotePrefix="1" applyNumberFormat="1" applyFont="1" applyAlignment="1"/>
    <xf numFmtId="9" fontId="17" fillId="0" borderId="0" xfId="12" applyFont="1" applyFill="1"/>
    <xf numFmtId="0" fontId="26" fillId="0" borderId="0" xfId="0" applyFont="1" applyFill="1" applyAlignment="1">
      <alignment horizontal="right"/>
    </xf>
    <xf numFmtId="0" fontId="17" fillId="0" borderId="0" xfId="0" applyFont="1" applyFill="1" applyAlignment="1">
      <alignment horizontal="right"/>
    </xf>
    <xf numFmtId="0" fontId="26" fillId="0" borderId="0" xfId="0" quotePrefix="1" applyFont="1" applyFill="1" applyAlignment="1">
      <alignment horizontal="right"/>
    </xf>
    <xf numFmtId="0" fontId="26" fillId="0" borderId="0" xfId="0" applyFont="1" applyFill="1"/>
    <xf numFmtId="171" fontId="0" fillId="0" borderId="0" xfId="2" applyNumberFormat="1" applyFont="1"/>
    <xf numFmtId="171" fontId="0" fillId="0" borderId="0" xfId="1" applyNumberFormat="1" applyFont="1"/>
    <xf numFmtId="171" fontId="0" fillId="0" borderId="5" xfId="0" applyNumberFormat="1" applyBorder="1"/>
    <xf numFmtId="171" fontId="0" fillId="0" borderId="0" xfId="0" applyNumberFormat="1"/>
    <xf numFmtId="169" fontId="0" fillId="0" borderId="5" xfId="0" applyNumberFormat="1" applyFill="1" applyBorder="1"/>
    <xf numFmtId="168" fontId="26" fillId="0" borderId="0" xfId="12" applyNumberFormat="1" applyFont="1" applyFill="1"/>
    <xf numFmtId="44" fontId="0" fillId="0" borderId="0" xfId="0" applyNumberFormat="1" applyFill="1"/>
    <xf numFmtId="10" fontId="20" fillId="0" borderId="0" xfId="12" applyNumberFormat="1" applyFont="1" applyFill="1"/>
    <xf numFmtId="0" fontId="0" fillId="0" borderId="9" xfId="0" applyBorder="1" applyAlignment="1">
      <alignment horizontal="center"/>
    </xf>
    <xf numFmtId="3" fontId="2" fillId="0" borderId="0" xfId="15" applyNumberFormat="1" applyFont="1" applyFill="1"/>
    <xf numFmtId="37" fontId="2" fillId="0" borderId="0" xfId="15" applyNumberFormat="1" applyFont="1" applyFill="1"/>
    <xf numFmtId="0" fontId="2" fillId="0" borderId="0" xfId="13" applyFont="1" applyFill="1" applyAlignment="1">
      <alignment horizontal="left"/>
    </xf>
    <xf numFmtId="37" fontId="2" fillId="0" borderId="0" xfId="13" applyNumberFormat="1" applyFont="1" applyFill="1"/>
    <xf numFmtId="7" fontId="2" fillId="0" borderId="0" xfId="7" applyNumberFormat="1" applyFont="1" applyFill="1" applyAlignment="1">
      <alignment horizontal="right"/>
    </xf>
    <xf numFmtId="0" fontId="2" fillId="0" borderId="0" xfId="13" applyFont="1" applyFill="1" applyAlignment="1"/>
    <xf numFmtId="0" fontId="28" fillId="0" borderId="0" xfId="14" applyFont="1" applyFill="1" applyAlignment="1"/>
    <xf numFmtId="0" fontId="29" fillId="0" borderId="0" xfId="15" applyFont="1" applyFill="1" applyBorder="1"/>
    <xf numFmtId="37" fontId="2" fillId="0" borderId="0" xfId="13" applyNumberFormat="1" applyFont="1" applyFill="1" applyBorder="1"/>
    <xf numFmtId="0" fontId="2" fillId="0" borderId="0" xfId="14" applyFont="1" applyFill="1" applyAlignment="1"/>
    <xf numFmtId="39" fontId="2" fillId="0" borderId="0" xfId="14" applyNumberFormat="1" applyFont="1" applyFill="1" applyAlignment="1" applyProtection="1">
      <alignment horizontal="right"/>
    </xf>
    <xf numFmtId="37" fontId="2" fillId="0" borderId="5" xfId="4" applyNumberFormat="1" applyFont="1" applyFill="1" applyBorder="1" applyAlignment="1">
      <alignment horizontal="center"/>
    </xf>
    <xf numFmtId="3" fontId="2" fillId="0" borderId="0" xfId="4" applyNumberFormat="1" applyFont="1" applyFill="1" applyBorder="1" applyAlignment="1">
      <alignment horizontal="center" wrapText="1"/>
    </xf>
    <xf numFmtId="0" fontId="29" fillId="0" borderId="0" xfId="15" applyFont="1" applyFill="1" applyBorder="1" applyAlignment="1">
      <alignment wrapText="1"/>
    </xf>
    <xf numFmtId="3" fontId="2" fillId="0" borderId="9" xfId="4" applyNumberFormat="1" applyFont="1" applyFill="1" applyBorder="1" applyAlignment="1">
      <alignment horizontal="center" wrapText="1"/>
    </xf>
    <xf numFmtId="0" fontId="3" fillId="0" borderId="0" xfId="13" applyFont="1" applyFill="1" applyBorder="1" applyAlignment="1">
      <alignment horizontal="center"/>
    </xf>
    <xf numFmtId="0" fontId="5" fillId="0" borderId="0" xfId="13" applyFont="1" applyFill="1"/>
    <xf numFmtId="172" fontId="2" fillId="0" borderId="0" xfId="13" applyNumberFormat="1" applyFont="1" applyFill="1" applyBorder="1" applyAlignment="1">
      <alignment horizontal="left"/>
    </xf>
    <xf numFmtId="3" fontId="3" fillId="0" borderId="0" xfId="4" applyNumberFormat="1" applyFont="1" applyFill="1" applyBorder="1"/>
    <xf numFmtId="0" fontId="3" fillId="0" borderId="0" xfId="4" applyFont="1" applyFill="1" applyBorder="1"/>
    <xf numFmtId="0" fontId="31" fillId="0" borderId="0" xfId="15" applyFont="1" applyFill="1" applyBorder="1"/>
    <xf numFmtId="172" fontId="3" fillId="0" borderId="0" xfId="13" applyNumberFormat="1" applyFont="1" applyFill="1" applyBorder="1" applyAlignment="1">
      <alignment horizontal="center"/>
    </xf>
    <xf numFmtId="16" fontId="3" fillId="0" borderId="0" xfId="13" applyNumberFormat="1" applyFont="1" applyFill="1" applyAlignment="1">
      <alignment horizontal="left"/>
    </xf>
    <xf numFmtId="37" fontId="3" fillId="0" borderId="0" xfId="16" applyNumberFormat="1" applyFont="1" applyFill="1" applyAlignment="1"/>
    <xf numFmtId="8" fontId="3" fillId="0" borderId="0" xfId="17" applyFont="1" applyFill="1" applyBorder="1" applyAlignment="1">
      <alignment horizontal="center"/>
    </xf>
    <xf numFmtId="7" fontId="3" fillId="0" borderId="0" xfId="17" applyNumberFormat="1" applyFont="1" applyFill="1" applyBorder="1" applyAlignment="1">
      <alignment horizontal="right"/>
    </xf>
    <xf numFmtId="5" fontId="3" fillId="0" borderId="0" xfId="17" applyNumberFormat="1" applyFont="1" applyFill="1" applyBorder="1" applyAlignment="1">
      <alignment horizontal="right"/>
    </xf>
    <xf numFmtId="37" fontId="3" fillId="0" borderId="0" xfId="17" applyNumberFormat="1" applyFont="1" applyFill="1" applyBorder="1" applyAlignment="1"/>
    <xf numFmtId="0" fontId="3" fillId="0" borderId="0" xfId="13" applyFont="1" applyFill="1" applyBorder="1"/>
    <xf numFmtId="3" fontId="3" fillId="0" borderId="0" xfId="15" applyNumberFormat="1" applyFont="1" applyFill="1"/>
    <xf numFmtId="3" fontId="3" fillId="0" borderId="7" xfId="4" applyNumberFormat="1" applyFont="1" applyFill="1" applyBorder="1"/>
    <xf numFmtId="4" fontId="3" fillId="0" borderId="0" xfId="4" applyNumberFormat="1" applyFont="1" applyFill="1" applyBorder="1" applyAlignment="1">
      <alignment horizontal="center"/>
    </xf>
    <xf numFmtId="7" fontId="3" fillId="0" borderId="0" xfId="4" applyNumberFormat="1" applyFont="1" applyFill="1" applyBorder="1" applyAlignment="1">
      <alignment horizontal="right"/>
    </xf>
    <xf numFmtId="5" fontId="3" fillId="0" borderId="7" xfId="17" applyNumberFormat="1" applyFont="1" applyFill="1" applyBorder="1" applyAlignment="1">
      <alignment horizontal="right"/>
    </xf>
    <xf numFmtId="37" fontId="3" fillId="0" borderId="7" xfId="4" applyNumberFormat="1" applyFont="1" applyFill="1" applyBorder="1" applyAlignment="1"/>
    <xf numFmtId="37" fontId="3" fillId="0" borderId="0" xfId="4" applyNumberFormat="1" applyFont="1" applyFill="1" applyBorder="1" applyAlignment="1"/>
    <xf numFmtId="16" fontId="3" fillId="0" borderId="0" xfId="13" applyNumberFormat="1" applyFont="1" applyFill="1" applyAlignment="1">
      <alignment horizontal="left" indent="2"/>
    </xf>
    <xf numFmtId="5" fontId="3" fillId="0" borderId="0" xfId="4" applyNumberFormat="1" applyFont="1" applyFill="1" applyBorder="1" applyAlignment="1">
      <alignment horizontal="right"/>
    </xf>
    <xf numFmtId="37" fontId="3" fillId="0" borderId="0" xfId="13" applyNumberFormat="1" applyFont="1" applyFill="1" applyAlignment="1"/>
    <xf numFmtId="16" fontId="33" fillId="0" borderId="0" xfId="13" quotePrefix="1" applyNumberFormat="1" applyFont="1" applyFill="1" applyAlignment="1">
      <alignment horizontal="right"/>
    </xf>
    <xf numFmtId="16" fontId="33" fillId="0" borderId="0" xfId="13" quotePrefix="1" applyNumberFormat="1" applyFont="1" applyFill="1" applyAlignment="1"/>
    <xf numFmtId="0" fontId="30" fillId="0" borderId="0" xfId="13" applyFont="1" applyFill="1" applyAlignment="1"/>
    <xf numFmtId="37" fontId="33" fillId="0" borderId="0" xfId="18" applyNumberFormat="1" applyFont="1" applyFill="1" applyBorder="1"/>
    <xf numFmtId="0" fontId="33" fillId="0" borderId="0" xfId="15" applyFont="1" applyFill="1" applyBorder="1"/>
    <xf numFmtId="16" fontId="33" fillId="0" borderId="0" xfId="13" applyNumberFormat="1" applyFont="1" applyFill="1" applyAlignment="1"/>
    <xf numFmtId="0" fontId="3" fillId="0" borderId="0" xfId="13" applyFont="1" applyFill="1" applyAlignment="1">
      <alignment horizontal="center"/>
    </xf>
    <xf numFmtId="37" fontId="3" fillId="0" borderId="0" xfId="16" applyNumberFormat="1" applyFont="1" applyFill="1" applyBorder="1" applyAlignment="1"/>
    <xf numFmtId="37" fontId="3" fillId="0" borderId="5" xfId="16" applyNumberFormat="1" applyFont="1" applyFill="1" applyBorder="1" applyAlignment="1"/>
    <xf numFmtId="8" fontId="3" fillId="0" borderId="0" xfId="13" applyNumberFormat="1" applyFont="1" applyFill="1" applyAlignment="1"/>
    <xf numFmtId="16" fontId="3" fillId="0" borderId="0" xfId="13" applyNumberFormat="1" applyFont="1" applyFill="1" applyAlignment="1">
      <alignment horizontal="right" indent="2"/>
    </xf>
    <xf numFmtId="37" fontId="3" fillId="0" borderId="7" xfId="16" applyNumberFormat="1" applyFont="1" applyFill="1" applyBorder="1" applyAlignment="1"/>
    <xf numFmtId="7" fontId="3" fillId="0" borderId="7" xfId="17" applyNumberFormat="1" applyFont="1" applyFill="1" applyBorder="1" applyAlignment="1">
      <alignment horizontal="right"/>
    </xf>
    <xf numFmtId="7" fontId="3" fillId="0" borderId="6" xfId="17" applyNumberFormat="1" applyFont="1" applyFill="1" applyBorder="1" applyAlignment="1">
      <alignment horizontal="right"/>
    </xf>
    <xf numFmtId="172" fontId="2" fillId="0" borderId="0" xfId="13" quotePrefix="1" applyNumberFormat="1" applyFont="1" applyFill="1" applyBorder="1" applyAlignment="1">
      <alignment horizontal="left"/>
    </xf>
    <xf numFmtId="37" fontId="3" fillId="0" borderId="0" xfId="13" applyNumberFormat="1" applyFont="1" applyFill="1" applyBorder="1" applyAlignment="1"/>
    <xf numFmtId="0" fontId="3" fillId="0" borderId="0" xfId="13" applyFont="1" applyFill="1"/>
    <xf numFmtId="172" fontId="3" fillId="0" borderId="0" xfId="13" applyNumberFormat="1" applyFont="1" applyFill="1" applyBorder="1" applyAlignment="1">
      <alignment horizontal="left"/>
    </xf>
    <xf numFmtId="16" fontId="3" fillId="0" borderId="0" xfId="13" quotePrefix="1" applyNumberFormat="1" applyFont="1" applyFill="1" applyAlignment="1"/>
    <xf numFmtId="3" fontId="31" fillId="0" borderId="0" xfId="15" applyNumberFormat="1" applyFont="1" applyFill="1"/>
    <xf numFmtId="16" fontId="3" fillId="0" borderId="0" xfId="13" applyNumberFormat="1" applyFont="1" applyFill="1" applyAlignment="1"/>
    <xf numFmtId="16" fontId="3" fillId="0" borderId="0" xfId="13" quotePrefix="1" applyNumberFormat="1" applyFont="1" applyFill="1" applyAlignment="1">
      <alignment horizontal="left"/>
    </xf>
    <xf numFmtId="16" fontId="3" fillId="0" borderId="0" xfId="13" quotePrefix="1" applyNumberFormat="1" applyFont="1" applyFill="1" applyAlignment="1">
      <alignment horizontal="right" indent="2"/>
    </xf>
    <xf numFmtId="37" fontId="3" fillId="0" borderId="7" xfId="13" applyNumberFormat="1" applyFont="1" applyFill="1" applyBorder="1" applyAlignment="1"/>
    <xf numFmtId="5" fontId="3" fillId="0" borderId="7" xfId="4" applyNumberFormat="1" applyFont="1" applyFill="1" applyBorder="1" applyAlignment="1">
      <alignment horizontal="right"/>
    </xf>
    <xf numFmtId="7" fontId="3" fillId="0" borderId="7" xfId="4" applyNumberFormat="1" applyFont="1" applyFill="1" applyBorder="1" applyAlignment="1">
      <alignment horizontal="right"/>
    </xf>
    <xf numFmtId="0" fontId="3" fillId="0" borderId="0" xfId="13" applyFont="1" applyFill="1" applyBorder="1" applyAlignment="1">
      <alignment horizontal="left"/>
    </xf>
    <xf numFmtId="0" fontId="3" fillId="0" borderId="0" xfId="15" applyFont="1" applyFill="1" applyBorder="1"/>
    <xf numFmtId="16" fontId="3" fillId="0" borderId="0" xfId="13" quotePrefix="1" applyNumberFormat="1" applyFont="1" applyFill="1" applyAlignment="1">
      <alignment horizontal="left" indent="2"/>
    </xf>
    <xf numFmtId="37" fontId="3" fillId="0" borderId="5" xfId="4" applyNumberFormat="1" applyFont="1" applyFill="1" applyBorder="1" applyAlignment="1"/>
    <xf numFmtId="37" fontId="3" fillId="0" borderId="0" xfId="18" applyNumberFormat="1" applyFont="1" applyFill="1" applyBorder="1"/>
    <xf numFmtId="37" fontId="3" fillId="0" borderId="0" xfId="18" applyNumberFormat="1" applyFont="1" applyFill="1" applyBorder="1" applyAlignment="1"/>
    <xf numFmtId="7" fontId="3" fillId="0" borderId="0" xfId="18" applyNumberFormat="1" applyFont="1" applyFill="1" applyBorder="1" applyAlignment="1">
      <alignment horizontal="right"/>
    </xf>
    <xf numFmtId="16" fontId="3" fillId="0" borderId="0" xfId="14" applyNumberFormat="1" applyFont="1" applyFill="1" applyAlignment="1">
      <alignment horizontal="left" indent="2"/>
    </xf>
    <xf numFmtId="37" fontId="3" fillId="0" borderId="7" xfId="4" applyNumberFormat="1" applyFont="1" applyFill="1" applyBorder="1" applyAlignment="1">
      <alignment horizontal="right"/>
    </xf>
    <xf numFmtId="0" fontId="3" fillId="0" borderId="0" xfId="4" applyFont="1" applyFill="1" applyAlignment="1">
      <alignment horizontal="left"/>
    </xf>
    <xf numFmtId="0" fontId="3" fillId="0" borderId="0" xfId="4" applyFont="1" applyFill="1"/>
    <xf numFmtId="37" fontId="3" fillId="0" borderId="0" xfId="18" applyNumberFormat="1" applyFont="1" applyFill="1" applyBorder="1" applyAlignment="1">
      <alignment horizontal="right"/>
    </xf>
    <xf numFmtId="7" fontId="3" fillId="0" borderId="0" xfId="4" applyNumberFormat="1" applyFont="1" applyFill="1" applyAlignment="1">
      <alignment horizontal="right"/>
    </xf>
    <xf numFmtId="3" fontId="3" fillId="0" borderId="0" xfId="4" applyNumberFormat="1" applyFont="1" applyFill="1"/>
    <xf numFmtId="2" fontId="3" fillId="0" borderId="0" xfId="15" applyNumberFormat="1" applyFont="1" applyFill="1"/>
    <xf numFmtId="44" fontId="3" fillId="0" borderId="0" xfId="17" applyNumberFormat="1" applyFont="1" applyFill="1" applyBorder="1" applyAlignment="1">
      <alignment horizontal="right"/>
    </xf>
    <xf numFmtId="44" fontId="33" fillId="0" borderId="0" xfId="17" applyNumberFormat="1" applyFont="1" applyFill="1" applyBorder="1" applyAlignment="1">
      <alignment horizontal="right"/>
    </xf>
    <xf numFmtId="171" fontId="3" fillId="0" borderId="0" xfId="17" applyNumberFormat="1" applyFont="1" applyFill="1" applyBorder="1" applyAlignment="1">
      <alignment horizontal="right"/>
    </xf>
    <xf numFmtId="169" fontId="3" fillId="0" borderId="0" xfId="1" applyNumberFormat="1" applyFont="1" applyFill="1" applyBorder="1" applyAlignment="1">
      <alignment horizontal="right"/>
    </xf>
    <xf numFmtId="171" fontId="3" fillId="0" borderId="7" xfId="17" applyNumberFormat="1" applyFont="1" applyFill="1" applyBorder="1" applyAlignment="1">
      <alignment horizontal="right"/>
    </xf>
    <xf numFmtId="171" fontId="3" fillId="0" borderId="8" xfId="17" applyNumberFormat="1" applyFont="1" applyFill="1" applyBorder="1" applyAlignment="1">
      <alignment horizontal="right"/>
    </xf>
    <xf numFmtId="3" fontId="26" fillId="0" borderId="0" xfId="0" applyNumberFormat="1" applyFont="1" applyFill="1"/>
    <xf numFmtId="3" fontId="26" fillId="0" borderId="7" xfId="0" applyNumberFormat="1" applyFont="1" applyFill="1" applyBorder="1"/>
    <xf numFmtId="171" fontId="3" fillId="0" borderId="7" xfId="2" applyNumberFormat="1" applyFont="1" applyFill="1" applyBorder="1" applyAlignment="1">
      <alignment horizontal="right"/>
    </xf>
    <xf numFmtId="2" fontId="2" fillId="0" borderId="9" xfId="4" applyNumberFormat="1" applyFont="1" applyFill="1" applyBorder="1" applyAlignment="1">
      <alignment horizontal="center" wrapText="1"/>
    </xf>
    <xf numFmtId="168" fontId="0" fillId="0" borderId="0" xfId="0" applyNumberFormat="1" applyFill="1"/>
    <xf numFmtId="0" fontId="0" fillId="0" borderId="9" xfId="0" applyFill="1" applyBorder="1" applyAlignment="1">
      <alignment horizontal="center"/>
    </xf>
    <xf numFmtId="8" fontId="0" fillId="0" borderId="0" xfId="0" applyNumberFormat="1" applyFill="1"/>
    <xf numFmtId="0" fontId="20" fillId="0" borderId="0" xfId="0" applyFont="1" applyFill="1" applyAlignment="1">
      <alignment horizontal="left"/>
    </xf>
    <xf numFmtId="0" fontId="42" fillId="0" borderId="0" xfId="267" applyNumberFormat="1" applyFont="1" applyAlignment="1" applyProtection="1">
      <protection locked="0"/>
    </xf>
    <xf numFmtId="0" fontId="41" fillId="0" borderId="0" xfId="267" applyNumberFormat="1" applyFont="1" applyAlignment="1" applyProtection="1">
      <protection locked="0"/>
    </xf>
    <xf numFmtId="0" fontId="12" fillId="0" borderId="0" xfId="267" applyNumberFormat="1" applyFont="1" applyAlignment="1" applyProtection="1">
      <protection locked="0"/>
    </xf>
    <xf numFmtId="0" fontId="12" fillId="0" borderId="0" xfId="267" applyNumberFormat="1" applyFont="1" applyAlignment="1" applyProtection="1">
      <alignment horizontal="center"/>
      <protection locked="0"/>
    </xf>
    <xf numFmtId="0" fontId="12" fillId="0" borderId="9" xfId="267" applyNumberFormat="1" applyFont="1" applyBorder="1" applyAlignment="1" applyProtection="1">
      <alignment horizontal="center"/>
      <protection locked="0"/>
    </xf>
    <xf numFmtId="177" fontId="12" fillId="0" borderId="0" xfId="267" applyNumberFormat="1" applyFont="1" applyAlignment="1" applyProtection="1">
      <protection locked="0"/>
    </xf>
    <xf numFmtId="3" fontId="12" fillId="0" borderId="0" xfId="267" applyNumberFormat="1" applyFont="1" applyAlignment="1" applyProtection="1">
      <protection locked="0"/>
    </xf>
    <xf numFmtId="168" fontId="12" fillId="0" borderId="0" xfId="246" applyNumberFormat="1" applyFont="1" applyAlignment="1" applyProtection="1">
      <protection locked="0"/>
    </xf>
    <xf numFmtId="2" fontId="12" fillId="0" borderId="0" xfId="267" applyNumberFormat="1" applyFont="1" applyAlignment="1" applyProtection="1">
      <protection locked="0"/>
    </xf>
    <xf numFmtId="7" fontId="12" fillId="0" borderId="0" xfId="267" applyNumberFormat="1" applyFont="1" applyAlignment="1" applyProtection="1">
      <protection locked="0"/>
    </xf>
    <xf numFmtId="0" fontId="12" fillId="0" borderId="0" xfId="267" applyNumberFormat="1" applyFont="1" applyBorder="1" applyAlignment="1" applyProtection="1">
      <alignment horizontal="center"/>
      <protection locked="0"/>
    </xf>
    <xf numFmtId="39" fontId="12" fillId="0" borderId="0" xfId="267" applyNumberFormat="1" applyFont="1" applyAlignment="1" applyProtection="1">
      <protection locked="0"/>
    </xf>
    <xf numFmtId="7" fontId="12" fillId="0" borderId="9" xfId="267" applyNumberFormat="1" applyFont="1" applyBorder="1" applyAlignment="1" applyProtection="1">
      <protection locked="0"/>
    </xf>
    <xf numFmtId="168" fontId="12" fillId="0" borderId="6" xfId="246" applyNumberFormat="1" applyFont="1" applyBorder="1" applyAlignment="1" applyProtection="1">
      <protection locked="0"/>
    </xf>
    <xf numFmtId="0" fontId="43" fillId="0" borderId="0" xfId="267" applyNumberFormat="1" applyFont="1" applyAlignment="1" applyProtection="1">
      <protection locked="0"/>
    </xf>
    <xf numFmtId="168" fontId="12" fillId="4" borderId="0" xfId="267" applyNumberFormat="1" applyFont="1" applyFill="1" applyAlignment="1" applyProtection="1">
      <protection locked="0"/>
    </xf>
    <xf numFmtId="10" fontId="12" fillId="0" borderId="0" xfId="246" applyNumberFormat="1" applyFont="1" applyAlignment="1" applyProtection="1">
      <protection locked="0"/>
    </xf>
    <xf numFmtId="44" fontId="12" fillId="0" borderId="0" xfId="267" applyNumberFormat="1" applyFont="1" applyAlignment="1" applyProtection="1">
      <protection locked="0"/>
    </xf>
    <xf numFmtId="171" fontId="3" fillId="0" borderId="0" xfId="2" applyNumberFormat="1" applyFont="1" applyFill="1" applyAlignment="1">
      <alignment horizontal="right"/>
    </xf>
    <xf numFmtId="171" fontId="0" fillId="0" borderId="6" xfId="0" applyNumberFormat="1" applyBorder="1"/>
    <xf numFmtId="0" fontId="45" fillId="0" borderId="0" xfId="0" applyFont="1" applyFill="1" applyAlignment="1">
      <alignment horizontal="right"/>
    </xf>
    <xf numFmtId="0" fontId="0" fillId="0" borderId="0" xfId="0" applyFill="1" applyBorder="1" applyAlignment="1">
      <alignment horizontal="center"/>
    </xf>
    <xf numFmtId="169" fontId="0" fillId="0" borderId="0" xfId="0" applyNumberFormat="1" applyFill="1" applyBorder="1"/>
    <xf numFmtId="0" fontId="44" fillId="0" borderId="0" xfId="0" applyFont="1" applyAlignment="1">
      <alignment horizontal="center"/>
    </xf>
    <xf numFmtId="0" fontId="46" fillId="0" borderId="0" xfId="0" applyFont="1" applyFill="1"/>
    <xf numFmtId="169" fontId="18" fillId="0" borderId="5" xfId="1" applyNumberFormat="1" applyFont="1" applyFill="1" applyBorder="1" applyAlignment="1"/>
    <xf numFmtId="0" fontId="46" fillId="0" borderId="0" xfId="0" applyFont="1" applyFill="1" applyAlignment="1">
      <alignment horizontal="center"/>
    </xf>
    <xf numFmtId="0" fontId="46" fillId="0" borderId="0" xfId="0" quotePrefix="1" applyFont="1" applyFill="1" applyAlignment="1">
      <alignment horizontal="right"/>
    </xf>
    <xf numFmtId="0" fontId="49" fillId="0" borderId="0" xfId="0" applyFont="1" applyAlignment="1">
      <alignment horizontal="center"/>
    </xf>
    <xf numFmtId="0" fontId="50" fillId="0" borderId="0" xfId="0" applyFont="1" applyAlignment="1"/>
    <xf numFmtId="166" fontId="0" fillId="0" borderId="0" xfId="0" applyNumberFormat="1" applyFill="1"/>
    <xf numFmtId="170" fontId="0" fillId="2" borderId="0" xfId="1" applyNumberFormat="1" applyFont="1" applyFill="1"/>
    <xf numFmtId="0" fontId="2" fillId="0" borderId="0" xfId="13" applyFont="1" applyFill="1" applyAlignment="1"/>
    <xf numFmtId="0" fontId="28" fillId="0" borderId="0" xfId="14" applyFont="1" applyFill="1" applyAlignment="1"/>
    <xf numFmtId="0" fontId="2" fillId="0" borderId="11" xfId="13" applyFont="1" applyFill="1" applyBorder="1" applyAlignment="1">
      <alignment horizontal="left" wrapText="1"/>
    </xf>
    <xf numFmtId="0" fontId="28" fillId="0" borderId="11" xfId="14" applyFont="1" applyFill="1" applyBorder="1" applyAlignment="1">
      <alignment wrapText="1"/>
    </xf>
    <xf numFmtId="0" fontId="28" fillId="0" borderId="9" xfId="14" applyFont="1" applyFill="1" applyBorder="1" applyAlignment="1">
      <alignment wrapText="1"/>
    </xf>
    <xf numFmtId="0" fontId="2" fillId="0" borderId="0" xfId="14" applyFont="1" applyFill="1" applyAlignment="1"/>
    <xf numFmtId="0" fontId="2" fillId="0" borderId="0" xfId="13" applyFont="1" applyFill="1" applyAlignment="1">
      <alignment horizontal="left"/>
    </xf>
    <xf numFmtId="0" fontId="4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0" fillId="0" borderId="4" xfId="0" applyFill="1" applyBorder="1" applyAlignment="1">
      <alignment horizontal="center"/>
    </xf>
    <xf numFmtId="0" fontId="12" fillId="0" borderId="9" xfId="267" applyNumberFormat="1" applyFont="1" applyBorder="1" applyAlignment="1" applyProtection="1">
      <alignment horizontal="center"/>
      <protection locked="0"/>
    </xf>
    <xf numFmtId="0" fontId="12" fillId="0" borderId="0" xfId="267" applyNumberFormat="1" applyFont="1" applyAlignment="1" applyProtection="1">
      <alignment horizontal="center"/>
      <protection locked="0"/>
    </xf>
    <xf numFmtId="0" fontId="12" fillId="0" borderId="0" xfId="267" applyNumberFormat="1" applyFont="1" applyBorder="1" applyAlignment="1" applyProtection="1">
      <alignment horizontal="center"/>
      <protection locked="0"/>
    </xf>
  </cellXfs>
  <cellStyles count="268">
    <cellStyle name="########" xfId="21"/>
    <cellStyle name="######## 2" xfId="22"/>
    <cellStyle name="Co #" xfId="23"/>
    <cellStyle name="Comma" xfId="1" builtinId="3"/>
    <cellStyle name="Comma 10" xfId="24"/>
    <cellStyle name="Comma 10 2" xfId="25"/>
    <cellStyle name="Comma 10 3" xfId="26"/>
    <cellStyle name="Comma 10 4" xfId="27"/>
    <cellStyle name="Comma 11" xfId="28"/>
    <cellStyle name="Comma 11 2" xfId="29"/>
    <cellStyle name="Comma 11 2 2" xfId="30"/>
    <cellStyle name="Comma 11 2 3" xfId="31"/>
    <cellStyle name="Comma 11 3" xfId="32"/>
    <cellStyle name="Comma 11 4" xfId="33"/>
    <cellStyle name="Comma 12" xfId="34"/>
    <cellStyle name="Comma 13" xfId="35"/>
    <cellStyle name="Comma 14" xfId="36"/>
    <cellStyle name="Comma 15" xfId="37"/>
    <cellStyle name="Comma 16" xfId="38"/>
    <cellStyle name="Comma 17" xfId="39"/>
    <cellStyle name="Comma 2" xfId="16"/>
    <cellStyle name="Comma 2 10" xfId="40"/>
    <cellStyle name="Comma 2 2" xfId="41"/>
    <cellStyle name="Comma 2 2 2" xfId="42"/>
    <cellStyle name="Comma 2 2 3" xfId="43"/>
    <cellStyle name="Comma 2 2 4" xfId="44"/>
    <cellStyle name="Comma 2 3" xfId="45"/>
    <cellStyle name="Comma 2 4" xfId="5"/>
    <cellStyle name="Comma 2 5" xfId="46"/>
    <cellStyle name="Comma 2 6" xfId="47"/>
    <cellStyle name="Comma 2 7" xfId="48"/>
    <cellStyle name="Comma 2 8" xfId="49"/>
    <cellStyle name="Comma 2 9" xfId="50"/>
    <cellStyle name="Comma 3" xfId="51"/>
    <cellStyle name="Comma 3 2" xfId="52"/>
    <cellStyle name="Comma 3 3" xfId="53"/>
    <cellStyle name="Comma 3 4" xfId="54"/>
    <cellStyle name="Comma 4" xfId="55"/>
    <cellStyle name="Comma 4 2" xfId="56"/>
    <cellStyle name="Comma 4 3" xfId="57"/>
    <cellStyle name="Comma 5" xfId="58"/>
    <cellStyle name="Comma 5 2" xfId="59"/>
    <cellStyle name="Comma 5 3" xfId="60"/>
    <cellStyle name="Comma 5 4" xfId="61"/>
    <cellStyle name="Comma 6" xfId="62"/>
    <cellStyle name="Comma 7" xfId="10"/>
    <cellStyle name="Comma 8" xfId="63"/>
    <cellStyle name="Comma 9" xfId="64"/>
    <cellStyle name="Comma 9 2" xfId="65"/>
    <cellStyle name="Comma 9 3" xfId="66"/>
    <cellStyle name="Currency" xfId="2" builtinId="4"/>
    <cellStyle name="Currency 10" xfId="67"/>
    <cellStyle name="Currency 11" xfId="68"/>
    <cellStyle name="Currency 2" xfId="19"/>
    <cellStyle name="Currency 2 2" xfId="69"/>
    <cellStyle name="Currency 2 2 2" xfId="70"/>
    <cellStyle name="Currency 2 2 3" xfId="71"/>
    <cellStyle name="Currency 2 2 4" xfId="72"/>
    <cellStyle name="Currency 2 3" xfId="73"/>
    <cellStyle name="Currency 2 4" xfId="74"/>
    <cellStyle name="Currency 2 5" xfId="75"/>
    <cellStyle name="Currency 2 6" xfId="76"/>
    <cellStyle name="Currency 3" xfId="6"/>
    <cellStyle name="Currency 3 2" xfId="77"/>
    <cellStyle name="Currency 3 3" xfId="78"/>
    <cellStyle name="Currency 3 4" xfId="8"/>
    <cellStyle name="Currency 4" xfId="79"/>
    <cellStyle name="Currency 4 2" xfId="80"/>
    <cellStyle name="Currency 4 3" xfId="81"/>
    <cellStyle name="Currency 4 4" xfId="82"/>
    <cellStyle name="Currency 5" xfId="83"/>
    <cellStyle name="Currency 6" xfId="84"/>
    <cellStyle name="Currency 7" xfId="85"/>
    <cellStyle name="Currency 8" xfId="86"/>
    <cellStyle name="Currency 9" xfId="87"/>
    <cellStyle name="Currency_091- E-2" xfId="17"/>
    <cellStyle name="Date" xfId="88"/>
    <cellStyle name="Date-Regulatory" xfId="89"/>
    <cellStyle name="Euro" xfId="90"/>
    <cellStyle name="Normal" xfId="0" builtinId="0"/>
    <cellStyle name="Normal 10" xfId="91"/>
    <cellStyle name="Normal 10 2" xfId="92"/>
    <cellStyle name="Normal 10 2 2" xfId="93"/>
    <cellStyle name="Normal 10 2 3" xfId="94"/>
    <cellStyle name="Normal 10 2 4" xfId="95"/>
    <cellStyle name="Normal 10 3" xfId="96"/>
    <cellStyle name="Normal 10 3 2" xfId="97"/>
    <cellStyle name="Normal 10 3 3" xfId="98"/>
    <cellStyle name="Normal 10 4" xfId="99"/>
    <cellStyle name="Normal 10 5" xfId="100"/>
    <cellStyle name="Normal 11" xfId="101"/>
    <cellStyle name="Normal 12" xfId="102"/>
    <cellStyle name="Normal 13" xfId="103"/>
    <cellStyle name="Normal 14" xfId="104"/>
    <cellStyle name="Normal 14 2" xfId="105"/>
    <cellStyle name="Normal 15" xfId="106"/>
    <cellStyle name="Normal 16" xfId="107"/>
    <cellStyle name="Normal 16 2" xfId="108"/>
    <cellStyle name="Normal 17" xfId="109"/>
    <cellStyle name="Normal 18" xfId="110"/>
    <cellStyle name="Normal 19" xfId="111"/>
    <cellStyle name="Normal 2" xfId="7"/>
    <cellStyle name="Normal 2 10" xfId="112"/>
    <cellStyle name="Normal 2 10 2" xfId="113"/>
    <cellStyle name="Normal 2 11" xfId="114"/>
    <cellStyle name="Normal 2 11 2" xfId="115"/>
    <cellStyle name="Normal 2 11 2 2" xfId="116"/>
    <cellStyle name="Normal 2 11 2 2 2" xfId="117"/>
    <cellStyle name="Normal 2 11 2 2 3" xfId="118"/>
    <cellStyle name="Normal 2 11 2 2 4" xfId="119"/>
    <cellStyle name="Normal 2 11 2 2 5" xfId="120"/>
    <cellStyle name="Normal 2 11 2 2 6" xfId="121"/>
    <cellStyle name="Normal 2 11 2 3" xfId="122"/>
    <cellStyle name="Normal 2 11 2 4" xfId="123"/>
    <cellStyle name="Normal 2 11 2 5" xfId="124"/>
    <cellStyle name="Normal 2 11 2 6" xfId="125"/>
    <cellStyle name="Normal 2 11 3" xfId="126"/>
    <cellStyle name="Normal 2 11 3 2" xfId="127"/>
    <cellStyle name="Normal 2 11 4" xfId="128"/>
    <cellStyle name="Normal 2 11 5" xfId="129"/>
    <cellStyle name="Normal 2 11 6" xfId="130"/>
    <cellStyle name="Normal 2 11 7" xfId="131"/>
    <cellStyle name="Normal 2 12" xfId="132"/>
    <cellStyle name="Normal 2 12 2" xfId="133"/>
    <cellStyle name="Normal 2 12 2 2" xfId="134"/>
    <cellStyle name="Normal 2 12 2 3" xfId="135"/>
    <cellStyle name="Normal 2 12 2 4" xfId="136"/>
    <cellStyle name="Normal 2 12 2 5" xfId="137"/>
    <cellStyle name="Normal 2 12 2 6" xfId="138"/>
    <cellStyle name="Normal 2 12 3" xfId="139"/>
    <cellStyle name="Normal 2 12 4" xfId="140"/>
    <cellStyle name="Normal 2 12 5" xfId="141"/>
    <cellStyle name="Normal 2 12 6" xfId="142"/>
    <cellStyle name="Normal 2 13" xfId="143"/>
    <cellStyle name="Normal 2 14" xfId="144"/>
    <cellStyle name="Normal 2 15" xfId="145"/>
    <cellStyle name="Normal 2 16" xfId="146"/>
    <cellStyle name="Normal 2 17" xfId="147"/>
    <cellStyle name="Normal 2 18" xfId="148"/>
    <cellStyle name="Normal 2 19" xfId="149"/>
    <cellStyle name="Normal 2 2" xfId="11"/>
    <cellStyle name="Normal 2 2 10" xfId="150"/>
    <cellStyle name="Normal 2 2 2" xfId="151"/>
    <cellStyle name="Normal 2 2 2 2" xfId="152"/>
    <cellStyle name="Normal 2 2 2 2 2" xfId="153"/>
    <cellStyle name="Normal 2 2 2 2 2 2" xfId="154"/>
    <cellStyle name="Normal 2 2 2 2 2 2 2" xfId="155"/>
    <cellStyle name="Normal 2 2 2 2 2 2 2 2" xfId="156"/>
    <cellStyle name="Normal 2 2 2 2 2 3" xfId="157"/>
    <cellStyle name="Normal 2 2 2 2 2 4" xfId="158"/>
    <cellStyle name="Normal 2 2 2 2 2 5" xfId="159"/>
    <cellStyle name="Normal 2 2 2 2 2 6" xfId="160"/>
    <cellStyle name="Normal 2 2 2 2 2 7" xfId="161"/>
    <cellStyle name="Normal 2 2 2 2 3" xfId="162"/>
    <cellStyle name="Normal 2 2 2 2 4" xfId="163"/>
    <cellStyle name="Normal 2 2 2 2 5" xfId="164"/>
    <cellStyle name="Normal 2 2 2 2 6" xfId="165"/>
    <cellStyle name="Normal 2 2 2 2 7" xfId="166"/>
    <cellStyle name="Normal 2 2 2 3" xfId="167"/>
    <cellStyle name="Normal 2 2 2 4" xfId="168"/>
    <cellStyle name="Normal 2 2 2 5" xfId="169"/>
    <cellStyle name="Normal 2 2 2 6" xfId="170"/>
    <cellStyle name="Normal 2 2 2 7" xfId="171"/>
    <cellStyle name="Normal 2 2 2 8" xfId="172"/>
    <cellStyle name="Normal 2 2 3" xfId="173"/>
    <cellStyle name="Normal 2 2 4" xfId="174"/>
    <cellStyle name="Normal 2 2 4 2" xfId="175"/>
    <cellStyle name="Normal 2 2 5" xfId="176"/>
    <cellStyle name="Normal 2 2 5 2" xfId="177"/>
    <cellStyle name="Normal 2 2 6" xfId="178"/>
    <cellStyle name="Normal 2 2 7" xfId="179"/>
    <cellStyle name="Normal 2 2 8" xfId="180"/>
    <cellStyle name="Normal 2 2 9" xfId="181"/>
    <cellStyle name="Normal 2 20" xfId="182"/>
    <cellStyle name="Normal 2 21" xfId="183"/>
    <cellStyle name="Normal 2 22" xfId="184"/>
    <cellStyle name="Normal 2 3" xfId="185"/>
    <cellStyle name="Normal 2 36" xfId="186"/>
    <cellStyle name="Normal 2 4" xfId="187"/>
    <cellStyle name="Normal 2 5" xfId="188"/>
    <cellStyle name="Normal 2 6" xfId="189"/>
    <cellStyle name="Normal 2 7" xfId="190"/>
    <cellStyle name="Normal 2 8" xfId="191"/>
    <cellStyle name="Normal 2 9" xfId="20"/>
    <cellStyle name="Normal 2_LUSIMFR22" xfId="192"/>
    <cellStyle name="Normal 20" xfId="193"/>
    <cellStyle name="Normal 21" xfId="194"/>
    <cellStyle name="Normal 22" xfId="195"/>
    <cellStyle name="Normal 23" xfId="196"/>
    <cellStyle name="Normal 24" xfId="197"/>
    <cellStyle name="Normal 25" xfId="267"/>
    <cellStyle name="Normal 3" xfId="14"/>
    <cellStyle name="Normal 3 10" xfId="198"/>
    <cellStyle name="Normal 3 11" xfId="199"/>
    <cellStyle name="Normal 3 12" xfId="200"/>
    <cellStyle name="Normal 3 13" xfId="201"/>
    <cellStyle name="Normal 3 14" xfId="202"/>
    <cellStyle name="Normal 3 15" xfId="203"/>
    <cellStyle name="Normal 3 16" xfId="204"/>
    <cellStyle name="Normal 3 17" xfId="205"/>
    <cellStyle name="Normal 3 18" xfId="206"/>
    <cellStyle name="Normal 3 19" xfId="207"/>
    <cellStyle name="Normal 3 2" xfId="208"/>
    <cellStyle name="Normal 3 2 2" xfId="209"/>
    <cellStyle name="Normal 3 20" xfId="210"/>
    <cellStyle name="Normal 3 21" xfId="211"/>
    <cellStyle name="Normal 3 3" xfId="212"/>
    <cellStyle name="Normal 3 4" xfId="213"/>
    <cellStyle name="Normal 3 5" xfId="214"/>
    <cellStyle name="Normal 3 6" xfId="215"/>
    <cellStyle name="Normal 3 7" xfId="216"/>
    <cellStyle name="Normal 3 8" xfId="217"/>
    <cellStyle name="Normal 3 9" xfId="218"/>
    <cellStyle name="Normal 4" xfId="219"/>
    <cellStyle name="Normal 4 2" xfId="220"/>
    <cellStyle name="Normal 4 3" xfId="221"/>
    <cellStyle name="Normal 4 4" xfId="222"/>
    <cellStyle name="Normal 4 5" xfId="223"/>
    <cellStyle name="Normal 4 6" xfId="224"/>
    <cellStyle name="Normal 4 7" xfId="225"/>
    <cellStyle name="Normal 5" xfId="226"/>
    <cellStyle name="Normal 5 2" xfId="227"/>
    <cellStyle name="Normal 5 3" xfId="228"/>
    <cellStyle name="Normal 5 4" xfId="229"/>
    <cellStyle name="Normal 5 5" xfId="230"/>
    <cellStyle name="Normal 5 6" xfId="231"/>
    <cellStyle name="Normal 6" xfId="232"/>
    <cellStyle name="Normal 6 2" xfId="233"/>
    <cellStyle name="Normal 6 3" xfId="234"/>
    <cellStyle name="Normal 6 4" xfId="235"/>
    <cellStyle name="Normal 62" xfId="236"/>
    <cellStyle name="Normal 7" xfId="237"/>
    <cellStyle name="Normal 8" xfId="238"/>
    <cellStyle name="Normal 9" xfId="239"/>
    <cellStyle name="Normal 9 2" xfId="240"/>
    <cellStyle name="Normal 9 2 2" xfId="241"/>
    <cellStyle name="Normal 9 2 3" xfId="242"/>
    <cellStyle name="Normal 9 2 4" xfId="243"/>
    <cellStyle name="Normal_091- E-2" xfId="13"/>
    <cellStyle name="Normal_REVENUES" xfId="18"/>
    <cellStyle name="Normal_UIF E-2 - with some additions REVISED FOR TITLES" xfId="3"/>
    <cellStyle name="Normal_Wedgefield-REV" xfId="4"/>
    <cellStyle name="Normal_Wedgefield-REV 2" xfId="15"/>
    <cellStyle name="Note 2" xfId="244"/>
    <cellStyle name="Percent" xfId="12" builtinId="5"/>
    <cellStyle name="Percent 10" xfId="245"/>
    <cellStyle name="Percent 2" xfId="246"/>
    <cellStyle name="Percent 2 2" xfId="9"/>
    <cellStyle name="Percent 2 2 2" xfId="247"/>
    <cellStyle name="Percent 2 2 3" xfId="248"/>
    <cellStyle name="Percent 2 2 4" xfId="249"/>
    <cellStyle name="Percent 2 3" xfId="250"/>
    <cellStyle name="Percent 2 4" xfId="251"/>
    <cellStyle name="Percent 2 5" xfId="252"/>
    <cellStyle name="Percent 2 6" xfId="253"/>
    <cellStyle name="Percent 3" xfId="254"/>
    <cellStyle name="Percent 3 2" xfId="255"/>
    <cellStyle name="Percent 3 2 2" xfId="256"/>
    <cellStyle name="Percent 3 3" xfId="257"/>
    <cellStyle name="Percent 3 4" xfId="258"/>
    <cellStyle name="Percent 4" xfId="259"/>
    <cellStyle name="Percent 5" xfId="260"/>
    <cellStyle name="Percent 5 2" xfId="261"/>
    <cellStyle name="Percent 5 3" xfId="262"/>
    <cellStyle name="Percent 6" xfId="263"/>
    <cellStyle name="Percent 7" xfId="264"/>
    <cellStyle name="Percent 8" xfId="265"/>
    <cellStyle name="Percent 9" xfId="2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ocuments/Milian&amp;Swain/LUSI/LUSI%20MFRs%20TY%2012-31-15_Class%20A_v.10%20(8.10.16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0.1.157\Financial\Documents%20and%20Settings\Phyllis%20Dobbs\Desktop\SE50%20063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(PROJ)/U02-39%20UTILITIES%20INC%20CONSOLIDATED%20RATE%20CASE%20FILING/MFR's/LONGWOOD%20-%20DS/LONGWOOD%20%20MFR%20TY%2012-31-2015_Class%20A_v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nas001\Documents%20and%20Settings\epovich\Local%20Settings\Temporary%20Internet%20Files\OLK16\CYPRESS%20LAKES%20Applic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URRENT%20PROJECTS/U02-37%20LABRADOR%202014%20RATE%20CASE/LABRADOR%20FINAL%20MFRs%207%20for%20PDF%20TO%20USE%20AS%20WORKFIL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nas001\files.uiwater.com\Miles%20Grant%20SUBMITTED%20FOR%20FILING\Miles%20Grant%20MFRs%206-30-07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LETED%20PROJECTS/SANLANDO%202010/(PROJ)/U02-14%20Miles%20Grant/Miles%20Grant%20Rate%20Increase%20Application%20TY%206-30-07/Miles%20Grant%20MFRs/Miles%20Grant%20MFRs%206-30-07%20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(PROJ)/U02-20%20Tierra%20Verde%20Utilities,%20Inc%20(2007)/Tierra%20Verde%20MFRs%2012-31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ynthia/2009%20FILINGS%20UI%20RATE%20CASES/Staff%20Workpapers/Sanlando%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(PROJ)/U02-39%20UTILITIES%20INC%20CONSOLIDATED%20RATE%20CASE%20FILING/MFR's/LABRADOR%20-%20DS/LABRADOR%20MFRs%20TY%2012-31-15_Class%20A_v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0.1.157\Financial\FINANCIAL%20DEPT\FPA\ROE%20Schedules\2005%2012%20December\123105%20ROE%202-3v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IA%20ELENA%20BRAVO/Local%20Settings/Temporary%20Internet%20Files/Content.IE5/URWN6DU1/Documents%20and%20Settings/mbravo/My%20Documents/RATE%20CASES%20-%20UTILITIES,%20INC/SOUTH%20GATE/SCHEDULES/SOUTHGATE%20MF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cros"/>
      <sheetName val="COVER"/>
      <sheetName val="CONTENTS vol 1"/>
      <sheetName val="CONTENTS vol 2"/>
      <sheetName val="APPENDIX A PLANT ACCT REC"/>
      <sheetName val="A 1"/>
      <sheetName val="A 2"/>
      <sheetName val="A 3"/>
      <sheetName val="A 4"/>
      <sheetName val="A 5"/>
      <sheetName val="A 5 (a)"/>
      <sheetName val="A 6"/>
      <sheetName val="A 6 (a)"/>
      <sheetName val="A 7"/>
      <sheetName val="A 8"/>
      <sheetName val="A 9"/>
      <sheetName val="A 9 (a)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 "/>
      <sheetName val="A 18"/>
      <sheetName val="A 18 (a)"/>
      <sheetName val="A 19 "/>
      <sheetName val="A 19 (a) "/>
      <sheetName val="B 1"/>
      <sheetName val="B 2"/>
      <sheetName val="B 3"/>
      <sheetName val="B 4"/>
      <sheetName val="B 5"/>
      <sheetName val="B 6"/>
      <sheetName val="B 7"/>
      <sheetName val="B 8"/>
      <sheetName val="B 9"/>
      <sheetName val="B 10"/>
      <sheetName val="B 11"/>
      <sheetName val="B 12"/>
      <sheetName val="B 13"/>
      <sheetName val="B 14"/>
      <sheetName val="B 15"/>
      <sheetName val="C INSTRUCT"/>
      <sheetName val="C 1"/>
      <sheetName val="C 2 (w)"/>
      <sheetName val="C 2 (s)"/>
      <sheetName val="C 3 "/>
      <sheetName val="C 4"/>
      <sheetName val="C 5 (w)"/>
      <sheetName val="C 5 (s)"/>
      <sheetName val="C 6"/>
      <sheetName val="C 7"/>
      <sheetName val="C 8"/>
      <sheetName val="C 9"/>
      <sheetName val="C 10"/>
      <sheetName val="D 1"/>
      <sheetName val="D 2"/>
      <sheetName val="D 3"/>
      <sheetName val="D 4"/>
      <sheetName val="D 5"/>
      <sheetName val="D 6"/>
      <sheetName val="D 7"/>
      <sheetName val="E 1 (w)"/>
      <sheetName val="E 1 (s)"/>
      <sheetName val="E 2 (w)"/>
      <sheetName val="E 2 (s)"/>
      <sheetName val="E 3"/>
      <sheetName val="E 4 (w)"/>
      <sheetName val="E 4 (s)"/>
      <sheetName val="E 5 (w)"/>
      <sheetName val="E 5 (s) "/>
      <sheetName val="E 6"/>
      <sheetName val="E 7"/>
      <sheetName val="E 8"/>
      <sheetName val="E 9 "/>
      <sheetName val="E 10"/>
      <sheetName val="E 11"/>
      <sheetName val="E 12"/>
      <sheetName val="E 13"/>
      <sheetName val="E 14"/>
      <sheetName val="A 1 (I)"/>
      <sheetName val="A 2 (I) "/>
      <sheetName val="A 3 (I) "/>
      <sheetName val="B 1 (I) "/>
      <sheetName val="B 2 (I) "/>
      <sheetName val="B 3 (I)"/>
      <sheetName val="B 15 (I)"/>
      <sheetName val="D 1 (I)"/>
      <sheetName val="D-2 (I)"/>
      <sheetName val="E 1 W (I)"/>
      <sheetName val="E 1 S (I)"/>
      <sheetName val="E 2 W (I)"/>
      <sheetName val="E 2 S (I)"/>
      <sheetName val="Trial Blc"/>
      <sheetName val="P&amp;L Per TB"/>
      <sheetName val="12-31-15 Plant Acc Bal_PerAR"/>
      <sheetName val="Other BalSheet Acct_PerAR"/>
      <sheetName val="12-31-15 CIAC Bal &amp; Proj_PerAR"/>
      <sheetName val="12-31-15 Depreciation Exp_PerAR"/>
      <sheetName val="12 Month IS UC"/>
      <sheetName val="IncomeAccountsAllocationPerAR "/>
      <sheetName val="O&amp;M EXPENSES TO BE ALLOCATED"/>
      <sheetName val="O&amp;M EXPENSES ALLOCATED TO WATER"/>
      <sheetName val="O&amp;M EXPENSES ALLOCATED TO SEWER"/>
      <sheetName val="AR to MFR"/>
      <sheetName val="Pro Forma Expense"/>
      <sheetName val="Pro Forma UPIS-LUSI"/>
      <sheetName val="Working Capital_PerAR"/>
      <sheetName val="ADJUSTED MONTHLY FINAL"/>
      <sheetName val="APPENDIX B INC. STAT.ACCT RECON"/>
      <sheetName val="Interest Expense Adj_PerAR"/>
      <sheetName val="C 5 Calculation"/>
      <sheetName val="AR_F-23"/>
      <sheetName val="Property Taxes"/>
      <sheetName val="Annualized TY deprec."/>
      <sheetName val="Water UPIS TY Adds"/>
      <sheetName val="Sewer UPIS TY Adds"/>
      <sheetName val="Rev Requirements Final"/>
      <sheetName val="Rev Requirements Interim"/>
      <sheetName val="Reuse RateBase"/>
      <sheetName val="CommonPlant_PerAR-not used"/>
      <sheetName val="F-23"/>
      <sheetName val="TAX EXPENSE-not used"/>
      <sheetName val="REVENUE REQUIREMENTS"/>
      <sheetName val="PROFORMA YEAR"/>
      <sheetName val="INTERIM COST OF CAPITAL"/>
    </sheetNames>
    <sheetDataSet>
      <sheetData sheetId="0"/>
      <sheetData sheetId="1">
        <row r="4">
          <cell r="E4" t="str">
            <v>Company: Utilities, Inc. of Florida - Lake Utility Services</v>
          </cell>
        </row>
        <row r="6">
          <cell r="E6" t="str">
            <v>Docket No.: 160101 - WS</v>
          </cell>
        </row>
        <row r="15">
          <cell r="E15" t="str">
            <v>Test Year Ended:  12/31/2015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Page 1 of 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1">
          <cell r="E41">
            <v>3.2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SE50 JE Clear WSC"/>
      <sheetName val="SE50 JE WSC"/>
      <sheetName val="SE50 JE Benefits"/>
      <sheetName val="SE50 JE Sal &amp; PR Tax"/>
      <sheetName val="Summary by State"/>
      <sheetName val="Summary by Co"/>
      <sheetName val="Salary Alloc"/>
      <sheetName val="FICA Alloc"/>
      <sheetName val="FUT Alloc"/>
      <sheetName val="SUT Alloc"/>
      <sheetName val="Pension Alloc"/>
      <sheetName val="401k Alloc"/>
      <sheetName val="Health Alloc"/>
      <sheetName val="Other Alloc"/>
      <sheetName val="Cust Eq %"/>
      <sheetName val="Cust Eq Allocation"/>
      <sheetName val="Benefits Rates Input"/>
      <sheetName val="GL Detail"/>
      <sheetName val="Salary Input"/>
      <sheetName val="Employee Info Input"/>
      <sheetName val="Employee by Sub Input"/>
      <sheetName val="Cust Eq Input"/>
      <sheetName val="InvoiceBill Count Input"/>
      <sheetName val="Prior Allocations Input"/>
      <sheetName val="FORM.COS.SUBS.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 2"/>
      <sheetName val="A 3"/>
      <sheetName val="A 4"/>
      <sheetName val="A 6"/>
      <sheetName val="A 6 (a)"/>
      <sheetName val="A 7"/>
      <sheetName val="A 8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8 (a)"/>
      <sheetName val="A 19"/>
      <sheetName val="A 19 (a)"/>
      <sheetName val="B 2"/>
      <sheetName val="B 3"/>
      <sheetName val="B 4"/>
      <sheetName val="B 6"/>
      <sheetName val="B 8"/>
      <sheetName val="B 9"/>
      <sheetName val="B 10"/>
      <sheetName val="B 11"/>
      <sheetName val="B 14"/>
      <sheetName val="B 15"/>
      <sheetName val="B12 - 1.31.2015"/>
      <sheetName val="B12 - 2.28.2015"/>
      <sheetName val="B12 - 3.31.2015"/>
      <sheetName val="B12 - 4.30.2015"/>
      <sheetName val="B12 - 5.31.2015"/>
      <sheetName val="B12 - 6.30.2015"/>
      <sheetName val="B12 - 7.31.2015"/>
      <sheetName val="B12 - 8.31.2015"/>
      <sheetName val="B12 - 9.30.2015"/>
      <sheetName val="B12 - 10.31.2015"/>
      <sheetName val="B12 - 11.30.2015"/>
      <sheetName val="B12 - 12.31.2015"/>
      <sheetName val="B12 - Test Year"/>
      <sheetName val="C INSTRUCT"/>
      <sheetName val="C 1"/>
      <sheetName val="C 2 (s)"/>
      <sheetName val="C 3"/>
      <sheetName val="C 4"/>
      <sheetName val="C 5 (s)"/>
      <sheetName val="C 6"/>
      <sheetName val="C 7"/>
      <sheetName val="C 8"/>
      <sheetName val="C 9"/>
      <sheetName val="C 10"/>
      <sheetName val="D 1"/>
      <sheetName val="D 2"/>
      <sheetName val="D 3"/>
      <sheetName val="D 4"/>
      <sheetName val="D 5"/>
      <sheetName val="D 6"/>
      <sheetName val="D 7"/>
      <sheetName val="E 1 (s)"/>
      <sheetName val="E 2 (s)"/>
      <sheetName val="E 3"/>
      <sheetName val="E 4 (s)"/>
      <sheetName val="E 5 (s)"/>
      <sheetName val="E 6"/>
      <sheetName val="E 7"/>
      <sheetName val="E 8"/>
      <sheetName val="E 9"/>
      <sheetName val="E 10"/>
      <sheetName val="E 11"/>
      <sheetName val="E 12"/>
      <sheetName val="E 13"/>
      <sheetName val="E 14"/>
      <sheetName val="A 2 (I)"/>
      <sheetName val="A 3 (I)"/>
      <sheetName val="B 2 (I)"/>
      <sheetName val="B 3 (I)"/>
      <sheetName val="B 15 (I)"/>
      <sheetName val="C 1 (I)"/>
      <sheetName val="C 2 (S) (I)"/>
      <sheetName val="C 5 (S) (I)"/>
      <sheetName val="D 1 (I)"/>
      <sheetName val="D 2 (I)"/>
      <sheetName val="E 1 S (I)"/>
      <sheetName val="E 2 S (I)"/>
      <sheetName val="AR to MFR"/>
      <sheetName val="Trial Blc"/>
      <sheetName val="O&amp;M Per TB"/>
      <sheetName val="PROFORMA ADJUSTMENTS"/>
      <sheetName val="12-31-15 Plant Acc Bal_PerAR"/>
      <sheetName val="12-31-15 CIAC Bal &amp; Proj_PerAR"/>
      <sheetName val="Other BalSheet Acct_PerAR"/>
      <sheetName val="O&amp;M"/>
      <sheetName val="12-31-15 Depreciation Exp_PerAR"/>
      <sheetName val="12-31-13 CIAC Amort Exp_PerAR"/>
      <sheetName val="Rev &amp; other exp"/>
      <sheetName val="Working Capital_PerAR"/>
      <sheetName val="Property Taxes"/>
      <sheetName val="IncomeAccountsAllocationPerAR "/>
      <sheetName val="IncomeAccounts_Water BU"/>
      <sheetName val="IncomeAccounts_Sewer BU"/>
      <sheetName val="ADJUSTED MONTHLY FINAL"/>
      <sheetName val="APPENDIX B INC. STAT.ACCT RECON"/>
      <sheetName val="CommonPlant_PerAR"/>
      <sheetName val="APPENDIX A PLANT ACCT REC"/>
      <sheetName val="Interest Expense Adj_PerAR"/>
      <sheetName val="AR_F-23"/>
      <sheetName val="RateCase&amp;Other Deferred_PerAR"/>
      <sheetName val="C 5 Calculation"/>
      <sheetName val="Rev Requirements Final"/>
      <sheetName val="Rev Requirements Interim"/>
      <sheetName val="Reuse RateBase"/>
      <sheetName val="REVENUE REQUIREMENTS"/>
      <sheetName val="PROFORMA YEAR"/>
      <sheetName val="INTERIM COST OF CAPITAL"/>
    </sheetNames>
    <sheetDataSet>
      <sheetData sheetId="0" refreshError="1">
        <row r="6">
          <cell r="E6" t="str">
            <v>Docket No.: 160101 - WS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 Request"/>
      <sheetName val="General Inputs"/>
      <sheetName val="Plant Inputs"/>
      <sheetName val="TOC"/>
      <sheetName val="A-1"/>
      <sheetName val="A-2"/>
      <sheetName val="A-3"/>
      <sheetName val="A-4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5"/>
      <sheetName val="A-16"/>
      <sheetName val="A-17"/>
      <sheetName val="A-18"/>
      <sheetName val="A-19"/>
      <sheetName val="B-1"/>
      <sheetName val="B-2"/>
      <sheetName val="B-3"/>
      <sheetName val="B-4"/>
      <sheetName val="B-5"/>
      <sheetName val="B-6"/>
      <sheetName val="B-7"/>
      <sheetName val="B-8"/>
      <sheetName val="B-9"/>
      <sheetName val="B-10"/>
      <sheetName val="B-11"/>
      <sheetName val="B-12"/>
      <sheetName val="B-13"/>
      <sheetName val="B-14"/>
      <sheetName val="B-15"/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D-1"/>
      <sheetName val="D-2"/>
      <sheetName val="D-3"/>
      <sheetName val="D-4"/>
      <sheetName val="D-5"/>
      <sheetName val="D-6"/>
      <sheetName val="D-7"/>
      <sheetName val="E-1"/>
      <sheetName val="E-2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3"/>
      <sheetName val="E-14"/>
      <sheetName val="F 1"/>
      <sheetName val="F 2"/>
      <sheetName val="F 3"/>
      <sheetName val="F 4"/>
      <sheetName val="F 5"/>
      <sheetName val="F 6"/>
      <sheetName val="F 7"/>
      <sheetName val="F 8"/>
      <sheetName val="F 9"/>
      <sheetName val="F 10"/>
      <sheetName val="Rates Calculations Water"/>
      <sheetName val="Rates Calculations Wastewater"/>
    </sheetNames>
    <sheetDataSet>
      <sheetData sheetId="0" refreshError="1"/>
      <sheetData sheetId="1" refreshError="1"/>
      <sheetData sheetId="2" refreshError="1">
        <row r="4">
          <cell r="D4" t="str">
            <v>A-5 Label</v>
          </cell>
          <cell r="F4">
            <v>2002</v>
          </cell>
          <cell r="G4">
            <v>2003</v>
          </cell>
          <cell r="H4">
            <v>2004</v>
          </cell>
          <cell r="I4">
            <v>2005</v>
          </cell>
        </row>
        <row r="5">
          <cell r="A5">
            <v>1</v>
          </cell>
          <cell r="B5" t="str">
            <v>Intangible Plant</v>
          </cell>
          <cell r="D5" t="str">
            <v>INTANGIBLE PLANT</v>
          </cell>
        </row>
        <row r="6">
          <cell r="A6">
            <v>2</v>
          </cell>
          <cell r="B6">
            <v>301</v>
          </cell>
          <cell r="C6">
            <v>1</v>
          </cell>
          <cell r="D6" t="str">
            <v>301.1  Organization</v>
          </cell>
          <cell r="E6" t="str">
            <v>Organization</v>
          </cell>
          <cell r="F6">
            <v>5274</v>
          </cell>
          <cell r="G6">
            <v>15288</v>
          </cell>
          <cell r="H6">
            <v>15288</v>
          </cell>
          <cell r="I6">
            <v>15338</v>
          </cell>
        </row>
        <row r="7">
          <cell r="A7">
            <v>3</v>
          </cell>
          <cell r="B7">
            <v>302</v>
          </cell>
          <cell r="C7">
            <v>1</v>
          </cell>
          <cell r="D7" t="str">
            <v>302.1  Franchises</v>
          </cell>
          <cell r="E7" t="str">
            <v>Franchises</v>
          </cell>
          <cell r="F7">
            <v>7933</v>
          </cell>
          <cell r="G7">
            <v>7933</v>
          </cell>
          <cell r="H7">
            <v>7933</v>
          </cell>
          <cell r="I7">
            <v>7933</v>
          </cell>
        </row>
        <row r="8">
          <cell r="A8">
            <v>4</v>
          </cell>
          <cell r="B8">
            <v>339</v>
          </cell>
          <cell r="C8">
            <v>1</v>
          </cell>
          <cell r="D8" t="str">
            <v>339.1  Other Plant &amp; Misc. Equipment</v>
          </cell>
          <cell r="E8" t="str">
            <v>Other Plant &amp; Misc. Equipment</v>
          </cell>
          <cell r="F8">
            <v>0</v>
          </cell>
        </row>
        <row r="9">
          <cell r="A9">
            <v>5</v>
          </cell>
          <cell r="B9" t="str">
            <v>Source of Supply and Pumping Plant</v>
          </cell>
          <cell r="D9" t="str">
            <v>SOURCE OF SUPPLY AND PUMPING PLANT</v>
          </cell>
        </row>
        <row r="10">
          <cell r="A10">
            <v>6</v>
          </cell>
          <cell r="B10">
            <v>303</v>
          </cell>
          <cell r="C10">
            <v>2</v>
          </cell>
          <cell r="D10" t="str">
            <v>303.2  Land &amp; Land Rights</v>
          </cell>
          <cell r="E10" t="str">
            <v>Land &amp; Land Rights</v>
          </cell>
          <cell r="F10">
            <v>0</v>
          </cell>
        </row>
        <row r="11">
          <cell r="A11">
            <v>7</v>
          </cell>
          <cell r="B11">
            <v>304</v>
          </cell>
          <cell r="C11">
            <v>2</v>
          </cell>
          <cell r="D11" t="str">
            <v>304.2  Structrures &amp; Improvements</v>
          </cell>
          <cell r="E11" t="str">
            <v>Structrures &amp; Improvements</v>
          </cell>
          <cell r="F11">
            <v>280</v>
          </cell>
          <cell r="G11">
            <v>9349</v>
          </cell>
          <cell r="H11">
            <v>9435</v>
          </cell>
          <cell r="I11">
            <v>14759</v>
          </cell>
        </row>
        <row r="12">
          <cell r="A12">
            <v>8</v>
          </cell>
          <cell r="B12">
            <v>305</v>
          </cell>
          <cell r="C12">
            <v>2</v>
          </cell>
          <cell r="D12" t="str">
            <v>305.2  Collect. &amp; Impound. Reservoirs</v>
          </cell>
          <cell r="E12" t="str">
            <v>Collect. &amp; Impound. Reservoirs</v>
          </cell>
          <cell r="F12">
            <v>0</v>
          </cell>
        </row>
        <row r="13">
          <cell r="A13">
            <v>9</v>
          </cell>
          <cell r="B13">
            <v>306</v>
          </cell>
          <cell r="C13">
            <v>2</v>
          </cell>
          <cell r="D13" t="str">
            <v>306.2  Lake, River &amp; Other Intakes</v>
          </cell>
          <cell r="E13" t="str">
            <v>Lake, River &amp; Other Intakes</v>
          </cell>
          <cell r="F13">
            <v>0</v>
          </cell>
        </row>
        <row r="14">
          <cell r="A14">
            <v>10</v>
          </cell>
          <cell r="B14">
            <v>307</v>
          </cell>
          <cell r="C14">
            <v>2</v>
          </cell>
          <cell r="D14" t="str">
            <v>307.2  Wells &amp; Springs</v>
          </cell>
          <cell r="E14" t="str">
            <v>Wells &amp; Springs</v>
          </cell>
          <cell r="F14">
            <v>47406</v>
          </cell>
          <cell r="G14">
            <v>52075</v>
          </cell>
          <cell r="H14">
            <v>52432</v>
          </cell>
          <cell r="I14">
            <v>55401</v>
          </cell>
        </row>
        <row r="15">
          <cell r="A15">
            <v>11</v>
          </cell>
          <cell r="B15">
            <v>308</v>
          </cell>
          <cell r="C15">
            <v>2</v>
          </cell>
          <cell r="D15" t="str">
            <v>308.2  Infiltration Galleries &amp; Tunnels</v>
          </cell>
          <cell r="E15" t="str">
            <v>Infiltration Galleries &amp; Tunnels</v>
          </cell>
          <cell r="F15">
            <v>0</v>
          </cell>
        </row>
        <row r="16">
          <cell r="A16">
            <v>12</v>
          </cell>
          <cell r="B16">
            <v>309</v>
          </cell>
          <cell r="C16">
            <v>2</v>
          </cell>
          <cell r="D16" t="str">
            <v>309.2  Supply Mains</v>
          </cell>
          <cell r="E16" t="str">
            <v>Supply Mains</v>
          </cell>
          <cell r="F16">
            <v>0</v>
          </cell>
        </row>
        <row r="17">
          <cell r="A17">
            <v>13</v>
          </cell>
          <cell r="B17">
            <v>310</v>
          </cell>
          <cell r="C17">
            <v>2</v>
          </cell>
          <cell r="D17" t="str">
            <v>310.2  Power Generation Equipment</v>
          </cell>
          <cell r="E17" t="str">
            <v>Power Generation Equipment</v>
          </cell>
          <cell r="F17">
            <v>0</v>
          </cell>
        </row>
        <row r="18">
          <cell r="A18">
            <v>14</v>
          </cell>
          <cell r="B18">
            <v>311</v>
          </cell>
          <cell r="C18">
            <v>2</v>
          </cell>
          <cell r="D18" t="str">
            <v>311.2  Pumping Equipment</v>
          </cell>
          <cell r="E18" t="str">
            <v>Pumping Equipment</v>
          </cell>
          <cell r="F18">
            <v>15752</v>
          </cell>
          <cell r="G18">
            <v>20314</v>
          </cell>
          <cell r="H18">
            <v>55149</v>
          </cell>
          <cell r="I18">
            <v>54992</v>
          </cell>
        </row>
        <row r="19">
          <cell r="A19">
            <v>15</v>
          </cell>
          <cell r="B19">
            <v>339</v>
          </cell>
          <cell r="C19">
            <v>2</v>
          </cell>
          <cell r="D19" t="str">
            <v>339.2  Other Plant &amp; Misc. Equipment</v>
          </cell>
          <cell r="E19" t="str">
            <v>Other Plant &amp; Misc. Equipment</v>
          </cell>
          <cell r="F19">
            <v>0</v>
          </cell>
        </row>
        <row r="20">
          <cell r="A20">
            <v>16</v>
          </cell>
          <cell r="B20" t="str">
            <v>Water Treatment Plant</v>
          </cell>
          <cell r="D20" t="str">
            <v>WATER TREATMENT PLANT</v>
          </cell>
        </row>
        <row r="21">
          <cell r="A21">
            <v>17</v>
          </cell>
          <cell r="B21">
            <v>303</v>
          </cell>
          <cell r="C21">
            <v>3</v>
          </cell>
          <cell r="D21" t="str">
            <v>303.3  Land &amp; Land Rights</v>
          </cell>
          <cell r="E21" t="str">
            <v>Land &amp; Land Rights</v>
          </cell>
          <cell r="F21">
            <v>0</v>
          </cell>
        </row>
        <row r="22">
          <cell r="A22">
            <v>18</v>
          </cell>
          <cell r="B22">
            <v>304</v>
          </cell>
          <cell r="C22">
            <v>3</v>
          </cell>
          <cell r="D22" t="str">
            <v>304.3  Structrures &amp; Improvements</v>
          </cell>
          <cell r="E22" t="str">
            <v>Structrures &amp; Improvements</v>
          </cell>
          <cell r="F22">
            <v>0</v>
          </cell>
        </row>
        <row r="23">
          <cell r="A23">
            <v>19</v>
          </cell>
          <cell r="B23">
            <v>320</v>
          </cell>
          <cell r="C23">
            <v>3</v>
          </cell>
          <cell r="D23" t="str">
            <v>320.3  Water Treatment Equipment</v>
          </cell>
          <cell r="E23" t="str">
            <v>Water Treatment Equipment</v>
          </cell>
          <cell r="F23">
            <v>5046</v>
          </cell>
          <cell r="G23">
            <v>5283</v>
          </cell>
          <cell r="H23">
            <v>6609</v>
          </cell>
          <cell r="I23">
            <v>10347</v>
          </cell>
        </row>
        <row r="24">
          <cell r="A24">
            <v>20</v>
          </cell>
          <cell r="B24">
            <v>339</v>
          </cell>
          <cell r="C24">
            <v>3</v>
          </cell>
          <cell r="D24" t="str">
            <v>339.3  Other Plant &amp; Misc. Equipment</v>
          </cell>
          <cell r="E24" t="str">
            <v>Other Plant &amp; Misc. Equipment</v>
          </cell>
          <cell r="F24">
            <v>0</v>
          </cell>
        </row>
        <row r="25">
          <cell r="A25">
            <v>21</v>
          </cell>
          <cell r="B25" t="str">
            <v>Transmission and Distribution Plant</v>
          </cell>
          <cell r="D25" t="str">
            <v>TRANSMISSION AND DISTRIBUTION PLANT</v>
          </cell>
        </row>
        <row r="26">
          <cell r="A26">
            <v>22</v>
          </cell>
          <cell r="B26">
            <v>303</v>
          </cell>
          <cell r="C26">
            <v>4</v>
          </cell>
          <cell r="D26" t="str">
            <v>303.4  Land &amp; Land Rights</v>
          </cell>
          <cell r="E26" t="str">
            <v>Land &amp; Land Rights</v>
          </cell>
          <cell r="F26">
            <v>0</v>
          </cell>
        </row>
        <row r="27">
          <cell r="A27">
            <v>23</v>
          </cell>
          <cell r="B27">
            <v>304</v>
          </cell>
          <cell r="C27">
            <v>4</v>
          </cell>
          <cell r="D27" t="str">
            <v>304.4  Structrures &amp; Improvements</v>
          </cell>
          <cell r="E27" t="str">
            <v>Structrures &amp; Improvements</v>
          </cell>
          <cell r="F27">
            <v>0</v>
          </cell>
        </row>
        <row r="28">
          <cell r="A28">
            <v>24</v>
          </cell>
          <cell r="B28">
            <v>330</v>
          </cell>
          <cell r="C28">
            <v>4</v>
          </cell>
          <cell r="D28" t="str">
            <v>330.4  Distr. Reservoirs &amp; Standpipes</v>
          </cell>
          <cell r="E28" t="str">
            <v>Distr. Reservoirs &amp; Standpipes</v>
          </cell>
          <cell r="F28">
            <v>30988</v>
          </cell>
          <cell r="G28">
            <v>31780</v>
          </cell>
          <cell r="H28">
            <v>35581</v>
          </cell>
          <cell r="I28">
            <v>35822</v>
          </cell>
        </row>
        <row r="29">
          <cell r="A29">
            <v>25</v>
          </cell>
          <cell r="B29">
            <v>331</v>
          </cell>
          <cell r="C29">
            <v>4</v>
          </cell>
          <cell r="D29" t="str">
            <v>331.4  Transm. &amp; Distribution Mains</v>
          </cell>
          <cell r="E29" t="str">
            <v>Transm. &amp; Distribution Mains</v>
          </cell>
          <cell r="F29">
            <v>249642</v>
          </cell>
          <cell r="G29">
            <v>249699</v>
          </cell>
          <cell r="H29">
            <v>250269</v>
          </cell>
          <cell r="I29">
            <v>250269</v>
          </cell>
        </row>
        <row r="30">
          <cell r="A30">
            <v>26</v>
          </cell>
          <cell r="B30">
            <v>333</v>
          </cell>
          <cell r="C30">
            <v>4</v>
          </cell>
          <cell r="D30" t="str">
            <v>333.4  Services</v>
          </cell>
          <cell r="E30" t="str">
            <v>Services</v>
          </cell>
          <cell r="F30">
            <v>2975</v>
          </cell>
          <cell r="G30">
            <v>10625</v>
          </cell>
          <cell r="H30">
            <v>14161</v>
          </cell>
          <cell r="I30">
            <v>17949</v>
          </cell>
        </row>
        <row r="31">
          <cell r="A31">
            <v>27</v>
          </cell>
          <cell r="B31">
            <v>334</v>
          </cell>
          <cell r="C31">
            <v>4</v>
          </cell>
          <cell r="D31" t="str">
            <v>334.4  Meters &amp; Meter Installations</v>
          </cell>
          <cell r="E31" t="str">
            <v>Meters &amp; Meter Installations</v>
          </cell>
          <cell r="F31">
            <v>11859</v>
          </cell>
          <cell r="G31">
            <v>16813</v>
          </cell>
          <cell r="H31">
            <v>19654</v>
          </cell>
          <cell r="I31">
            <v>34918</v>
          </cell>
        </row>
        <row r="32">
          <cell r="A32">
            <v>28</v>
          </cell>
          <cell r="B32">
            <v>335</v>
          </cell>
          <cell r="C32">
            <v>4</v>
          </cell>
          <cell r="D32" t="str">
            <v>335.4  Hydrants</v>
          </cell>
          <cell r="E32" t="str">
            <v>Hydrants</v>
          </cell>
          <cell r="F32">
            <v>0</v>
          </cell>
          <cell r="G32">
            <v>56</v>
          </cell>
          <cell r="H32">
            <v>3356</v>
          </cell>
          <cell r="I32">
            <v>3356</v>
          </cell>
        </row>
        <row r="33">
          <cell r="A33">
            <v>29</v>
          </cell>
          <cell r="B33">
            <v>339</v>
          </cell>
          <cell r="C33">
            <v>4</v>
          </cell>
          <cell r="D33" t="str">
            <v>339.4  Other Plant &amp; Misc. Equipment</v>
          </cell>
          <cell r="E33" t="str">
            <v>Other Plant &amp; Misc. Equipment</v>
          </cell>
          <cell r="F33">
            <v>0</v>
          </cell>
        </row>
        <row r="34">
          <cell r="A34">
            <v>30</v>
          </cell>
          <cell r="B34" t="str">
            <v>General Plant</v>
          </cell>
          <cell r="D34" t="str">
            <v>GENERAL PLANT</v>
          </cell>
        </row>
        <row r="35">
          <cell r="A35">
            <v>31</v>
          </cell>
          <cell r="B35">
            <v>303</v>
          </cell>
          <cell r="C35">
            <v>5</v>
          </cell>
          <cell r="D35" t="str">
            <v>303.5  Land &amp; Land Rights</v>
          </cell>
          <cell r="E35" t="str">
            <v>Land &amp; Land Rights</v>
          </cell>
          <cell r="F35">
            <v>0</v>
          </cell>
        </row>
        <row r="36">
          <cell r="A36">
            <v>32</v>
          </cell>
          <cell r="B36">
            <v>304</v>
          </cell>
          <cell r="C36">
            <v>5</v>
          </cell>
          <cell r="D36" t="str">
            <v>304.5  Structrures &amp; Improvements</v>
          </cell>
          <cell r="E36" t="str">
            <v>Structrures &amp; Improvements</v>
          </cell>
          <cell r="F36">
            <v>0</v>
          </cell>
        </row>
        <row r="37">
          <cell r="A37">
            <v>33</v>
          </cell>
          <cell r="B37">
            <v>340</v>
          </cell>
          <cell r="C37">
            <v>5</v>
          </cell>
          <cell r="D37" t="str">
            <v>340.5  Office Furniture &amp; Equipment</v>
          </cell>
          <cell r="E37" t="str">
            <v>Office Furniture &amp; Equipment</v>
          </cell>
          <cell r="F37">
            <v>383</v>
          </cell>
          <cell r="G37">
            <v>765</v>
          </cell>
          <cell r="H37">
            <v>977</v>
          </cell>
          <cell r="I37">
            <v>1711</v>
          </cell>
        </row>
        <row r="38">
          <cell r="A38">
            <v>34</v>
          </cell>
          <cell r="B38">
            <v>341</v>
          </cell>
          <cell r="C38">
            <v>5</v>
          </cell>
          <cell r="D38" t="str">
            <v>341.5  Transportation Equipment</v>
          </cell>
          <cell r="E38" t="str">
            <v>Transportation Equipment</v>
          </cell>
          <cell r="F38">
            <v>19053</v>
          </cell>
          <cell r="G38">
            <v>19053</v>
          </cell>
          <cell r="H38">
            <v>16588</v>
          </cell>
          <cell r="I38">
            <v>-2409</v>
          </cell>
        </row>
        <row r="39">
          <cell r="A39">
            <v>35</v>
          </cell>
          <cell r="B39">
            <v>342</v>
          </cell>
          <cell r="C39">
            <v>5</v>
          </cell>
          <cell r="D39" t="str">
            <v>342.5  Stores Equipment</v>
          </cell>
          <cell r="E39" t="str">
            <v>Stores Equipment</v>
          </cell>
          <cell r="F39">
            <v>0</v>
          </cell>
        </row>
        <row r="40">
          <cell r="A40">
            <v>36</v>
          </cell>
          <cell r="B40">
            <v>343</v>
          </cell>
          <cell r="C40">
            <v>5</v>
          </cell>
          <cell r="D40" t="str">
            <v>343.5  Tools, Shop &amp; Garage Equipment</v>
          </cell>
          <cell r="E40" t="str">
            <v>Tools, Shop &amp; Garage Equipment</v>
          </cell>
          <cell r="F40">
            <v>15573</v>
          </cell>
          <cell r="G40">
            <v>32948</v>
          </cell>
          <cell r="H40">
            <v>33286</v>
          </cell>
          <cell r="I40">
            <v>28720</v>
          </cell>
        </row>
        <row r="41">
          <cell r="A41">
            <v>37</v>
          </cell>
          <cell r="B41">
            <v>344</v>
          </cell>
          <cell r="C41">
            <v>5</v>
          </cell>
          <cell r="D41" t="str">
            <v>344.5  Laboratory Equipment</v>
          </cell>
          <cell r="E41" t="str">
            <v>Laboratory Equipment</v>
          </cell>
          <cell r="F41">
            <v>358</v>
          </cell>
          <cell r="G41">
            <v>358</v>
          </cell>
          <cell r="H41">
            <v>358</v>
          </cell>
          <cell r="I41">
            <v>358</v>
          </cell>
        </row>
        <row r="42">
          <cell r="A42">
            <v>38</v>
          </cell>
          <cell r="B42">
            <v>345</v>
          </cell>
          <cell r="C42">
            <v>5</v>
          </cell>
          <cell r="D42" t="str">
            <v>345.5  Power Operated Equipment</v>
          </cell>
          <cell r="E42" t="str">
            <v>Power Operated Equipment</v>
          </cell>
          <cell r="F42">
            <v>0</v>
          </cell>
        </row>
        <row r="43">
          <cell r="A43">
            <v>39</v>
          </cell>
          <cell r="B43">
            <v>346</v>
          </cell>
          <cell r="C43">
            <v>5</v>
          </cell>
          <cell r="D43" t="str">
            <v>346.5  Communication Equipment</v>
          </cell>
          <cell r="E43" t="str">
            <v>Communication Equipment</v>
          </cell>
          <cell r="F43">
            <v>0</v>
          </cell>
          <cell r="G43">
            <v>1079</v>
          </cell>
          <cell r="H43">
            <v>1079</v>
          </cell>
          <cell r="I43">
            <v>1079</v>
          </cell>
        </row>
        <row r="44">
          <cell r="A44">
            <v>40</v>
          </cell>
          <cell r="B44">
            <v>347</v>
          </cell>
          <cell r="C44">
            <v>5</v>
          </cell>
          <cell r="D44" t="str">
            <v>347.5  Miscellaneous Equipment</v>
          </cell>
          <cell r="E44" t="str">
            <v>Miscellaneous Equipment</v>
          </cell>
          <cell r="F44">
            <v>0</v>
          </cell>
        </row>
        <row r="45">
          <cell r="A45">
            <v>41</v>
          </cell>
          <cell r="B45">
            <v>348</v>
          </cell>
          <cell r="C45">
            <v>5</v>
          </cell>
          <cell r="D45" t="str">
            <v>348.5  Other Tangible Plant</v>
          </cell>
          <cell r="E45" t="str">
            <v>Other Tangible Plant</v>
          </cell>
          <cell r="F45">
            <v>22165</v>
          </cell>
          <cell r="G45">
            <v>34061</v>
          </cell>
          <cell r="H45">
            <v>32405</v>
          </cell>
          <cell r="I45">
            <v>24105</v>
          </cell>
        </row>
        <row r="149">
          <cell r="D149" t="str">
            <v>A-10 Label</v>
          </cell>
          <cell r="F149">
            <v>2002</v>
          </cell>
          <cell r="G149">
            <v>2003</v>
          </cell>
          <cell r="H149">
            <v>2004</v>
          </cell>
          <cell r="I149">
            <v>2005</v>
          </cell>
        </row>
        <row r="150">
          <cell r="A150">
            <v>1</v>
          </cell>
          <cell r="B150" t="str">
            <v>Intangible Plant</v>
          </cell>
          <cell r="D150" t="str">
            <v>INTANGIBLE PLANT</v>
          </cell>
        </row>
        <row r="151">
          <cell r="A151">
            <v>2</v>
          </cell>
          <cell r="B151">
            <v>351</v>
          </cell>
          <cell r="C151">
            <v>1</v>
          </cell>
          <cell r="D151" t="str">
            <v>351.1  Organization</v>
          </cell>
          <cell r="E151" t="str">
            <v>Organization</v>
          </cell>
        </row>
        <row r="152">
          <cell r="A152">
            <v>3</v>
          </cell>
          <cell r="B152">
            <v>352</v>
          </cell>
          <cell r="C152">
            <v>1</v>
          </cell>
          <cell r="D152" t="str">
            <v>352.1  Franchises</v>
          </cell>
          <cell r="E152" t="str">
            <v>Franchises</v>
          </cell>
        </row>
        <row r="153">
          <cell r="A153">
            <v>4</v>
          </cell>
          <cell r="B153">
            <v>389</v>
          </cell>
          <cell r="C153">
            <v>1</v>
          </cell>
          <cell r="D153" t="str">
            <v>389.1  Other Plant &amp; Misc. Equipment</v>
          </cell>
          <cell r="E153" t="str">
            <v>Other Plant &amp; Misc. Equipment</v>
          </cell>
        </row>
        <row r="154">
          <cell r="A154">
            <v>5</v>
          </cell>
          <cell r="B154" t="str">
            <v>Collection Plant</v>
          </cell>
          <cell r="D154" t="str">
            <v>COLLECTION PLANT</v>
          </cell>
        </row>
        <row r="155">
          <cell r="A155">
            <v>6</v>
          </cell>
          <cell r="B155">
            <v>353</v>
          </cell>
          <cell r="C155">
            <v>2</v>
          </cell>
          <cell r="D155" t="str">
            <v>353.2  Land &amp; Land Rights</v>
          </cell>
          <cell r="E155" t="str">
            <v>Land &amp; Land Rights</v>
          </cell>
        </row>
        <row r="156">
          <cell r="A156">
            <v>7</v>
          </cell>
          <cell r="B156">
            <v>354</v>
          </cell>
          <cell r="C156">
            <v>2</v>
          </cell>
          <cell r="D156" t="str">
            <v>354.2  Structrures &amp; Improvements</v>
          </cell>
          <cell r="E156" t="str">
            <v>Structrures &amp; Improvements</v>
          </cell>
          <cell r="F156">
            <v>198</v>
          </cell>
          <cell r="G156">
            <v>-3397</v>
          </cell>
          <cell r="H156">
            <v>-3198</v>
          </cell>
          <cell r="I156">
            <v>203006</v>
          </cell>
        </row>
        <row r="157">
          <cell r="A157">
            <v>8</v>
          </cell>
          <cell r="B157">
            <v>360</v>
          </cell>
          <cell r="C157">
            <v>2</v>
          </cell>
          <cell r="D157" t="str">
            <v>360.2  Collection Sewers - Force</v>
          </cell>
          <cell r="E157" t="str">
            <v>Collection Sewers - Force</v>
          </cell>
          <cell r="F157">
            <v>96188</v>
          </cell>
          <cell r="G157">
            <v>-1942</v>
          </cell>
          <cell r="H157">
            <v>-1858</v>
          </cell>
          <cell r="I157">
            <v>-6167</v>
          </cell>
        </row>
        <row r="158">
          <cell r="A158">
            <v>9</v>
          </cell>
          <cell r="B158">
            <v>361</v>
          </cell>
          <cell r="C158">
            <v>2</v>
          </cell>
          <cell r="D158" t="str">
            <v>361.2  Collection Sewers - Gravity</v>
          </cell>
          <cell r="E158" t="str">
            <v>Collection Sewers - Gravity</v>
          </cell>
          <cell r="G158">
            <v>112949</v>
          </cell>
          <cell r="H158">
            <v>119704</v>
          </cell>
          <cell r="I158">
            <v>127908</v>
          </cell>
        </row>
        <row r="159">
          <cell r="A159">
            <v>10</v>
          </cell>
          <cell r="B159">
            <v>362</v>
          </cell>
          <cell r="C159">
            <v>2</v>
          </cell>
          <cell r="D159" t="str">
            <v>362.2  Special Collecting Structures</v>
          </cell>
          <cell r="E159" t="str">
            <v>Special Collecting Structures</v>
          </cell>
        </row>
        <row r="160">
          <cell r="A160">
            <v>11</v>
          </cell>
          <cell r="B160">
            <v>363</v>
          </cell>
          <cell r="C160">
            <v>2</v>
          </cell>
          <cell r="D160" t="str">
            <v>363.2  Services to Customers</v>
          </cell>
          <cell r="E160" t="str">
            <v>Services to Customers</v>
          </cell>
        </row>
        <row r="161">
          <cell r="A161">
            <v>12</v>
          </cell>
          <cell r="B161">
            <v>364</v>
          </cell>
          <cell r="C161">
            <v>2</v>
          </cell>
          <cell r="D161" t="str">
            <v>364.2  Flow Measuring Devices</v>
          </cell>
          <cell r="E161" t="str">
            <v>Flow Measuring Devices</v>
          </cell>
        </row>
        <row r="162">
          <cell r="A162">
            <v>13</v>
          </cell>
          <cell r="B162">
            <v>365</v>
          </cell>
          <cell r="C162">
            <v>2</v>
          </cell>
          <cell r="D162" t="str">
            <v>365.2  Flow Measuring Installations</v>
          </cell>
          <cell r="E162" t="str">
            <v>Flow Measuring Installations</v>
          </cell>
        </row>
        <row r="163">
          <cell r="A163">
            <v>14</v>
          </cell>
          <cell r="B163">
            <v>375</v>
          </cell>
          <cell r="C163">
            <v>2</v>
          </cell>
          <cell r="D163" t="str">
            <v>375.2  Reuse Services</v>
          </cell>
          <cell r="E163" t="str">
            <v>Reuse Services</v>
          </cell>
        </row>
        <row r="164">
          <cell r="A164">
            <v>15</v>
          </cell>
          <cell r="B164">
            <v>389</v>
          </cell>
          <cell r="C164">
            <v>2</v>
          </cell>
          <cell r="D164" t="str">
            <v>389.2  Other Plant &amp; Misc. Equipment</v>
          </cell>
          <cell r="E164" t="str">
            <v>Other Plant &amp; Misc. Equipment</v>
          </cell>
        </row>
        <row r="165">
          <cell r="A165">
            <v>16</v>
          </cell>
          <cell r="B165" t="str">
            <v>System Pumping Plant</v>
          </cell>
          <cell r="D165" t="str">
            <v>SYSTEM PUMPING PLANT</v>
          </cell>
        </row>
        <row r="166">
          <cell r="A166">
            <v>17</v>
          </cell>
          <cell r="B166">
            <v>353</v>
          </cell>
          <cell r="C166">
            <v>3</v>
          </cell>
          <cell r="D166" t="str">
            <v>353.3  Land &amp; Land Rights</v>
          </cell>
          <cell r="E166" t="str">
            <v>Land &amp; Land Rights</v>
          </cell>
        </row>
        <row r="167">
          <cell r="A167">
            <v>18</v>
          </cell>
          <cell r="B167">
            <v>354</v>
          </cell>
          <cell r="C167">
            <v>3</v>
          </cell>
          <cell r="D167" t="str">
            <v>354.3  Structrures &amp; Improvements</v>
          </cell>
          <cell r="E167" t="str">
            <v>Structrures &amp; Improvements</v>
          </cell>
        </row>
        <row r="168">
          <cell r="A168">
            <v>19</v>
          </cell>
          <cell r="B168">
            <v>370</v>
          </cell>
          <cell r="C168">
            <v>3</v>
          </cell>
          <cell r="D168" t="str">
            <v>370.3  Receiving Wells</v>
          </cell>
          <cell r="E168" t="str">
            <v>Receiving Wells</v>
          </cell>
          <cell r="F168">
            <v>11000</v>
          </cell>
        </row>
        <row r="169">
          <cell r="A169">
            <v>20</v>
          </cell>
          <cell r="B169">
            <v>371</v>
          </cell>
          <cell r="C169">
            <v>3</v>
          </cell>
          <cell r="D169" t="str">
            <v>371.3  Pumping Equipment</v>
          </cell>
          <cell r="E169" t="str">
            <v>Pumping Equipment</v>
          </cell>
        </row>
        <row r="170">
          <cell r="A170">
            <v>21</v>
          </cell>
          <cell r="B170">
            <v>389</v>
          </cell>
          <cell r="C170">
            <v>3</v>
          </cell>
          <cell r="D170" t="str">
            <v>389.3  Other Plant &amp; Misc. Equipment</v>
          </cell>
          <cell r="E170" t="str">
            <v>Other Plant &amp; Misc. Equipment</v>
          </cell>
        </row>
        <row r="171">
          <cell r="A171">
            <v>22</v>
          </cell>
          <cell r="B171" t="str">
            <v>Treatment and Disposal Plant</v>
          </cell>
          <cell r="D171" t="str">
            <v>TREATMENT AND DISPOSAL PLANT</v>
          </cell>
        </row>
        <row r="172">
          <cell r="A172">
            <v>23</v>
          </cell>
          <cell r="B172">
            <v>353</v>
          </cell>
          <cell r="C172">
            <v>4</v>
          </cell>
          <cell r="D172" t="str">
            <v>353.4  Land &amp; Land Rights</v>
          </cell>
          <cell r="E172" t="str">
            <v>Land &amp; Land Rights</v>
          </cell>
        </row>
        <row r="173">
          <cell r="A173">
            <v>24</v>
          </cell>
          <cell r="B173">
            <v>354</v>
          </cell>
          <cell r="C173">
            <v>4</v>
          </cell>
          <cell r="D173" t="str">
            <v>354.4  Structrures &amp; Improvements</v>
          </cell>
          <cell r="E173" t="str">
            <v>Structrures &amp; Improvements</v>
          </cell>
        </row>
        <row r="174">
          <cell r="A174">
            <v>25</v>
          </cell>
          <cell r="B174">
            <v>380</v>
          </cell>
          <cell r="C174">
            <v>4</v>
          </cell>
          <cell r="D174" t="str">
            <v>380.4  Treatment &amp; Disposal Equipment</v>
          </cell>
          <cell r="E174" t="str">
            <v>Treatment &amp; Disposal Equipment</v>
          </cell>
          <cell r="G174">
            <v>235491</v>
          </cell>
          <cell r="H174">
            <v>256760</v>
          </cell>
          <cell r="I174">
            <v>74852</v>
          </cell>
        </row>
        <row r="175">
          <cell r="A175">
            <v>26</v>
          </cell>
          <cell r="B175">
            <v>381</v>
          </cell>
          <cell r="C175">
            <v>4</v>
          </cell>
          <cell r="D175" t="str">
            <v>381.4  Plant Sewers</v>
          </cell>
          <cell r="E175" t="str">
            <v>Plant Sewers</v>
          </cell>
          <cell r="F175">
            <v>153339</v>
          </cell>
        </row>
        <row r="176">
          <cell r="A176">
            <v>27</v>
          </cell>
          <cell r="B176">
            <v>382</v>
          </cell>
          <cell r="C176">
            <v>4</v>
          </cell>
          <cell r="D176" t="str">
            <v>382.4  Outfall Sewer Lines</v>
          </cell>
          <cell r="E176" t="str">
            <v>Outfall Sewer Lines</v>
          </cell>
        </row>
        <row r="177">
          <cell r="A177">
            <v>28</v>
          </cell>
          <cell r="B177">
            <v>389</v>
          </cell>
          <cell r="C177">
            <v>4</v>
          </cell>
          <cell r="D177" t="str">
            <v>389.4  Other Plant &amp; Misc. Equipment</v>
          </cell>
          <cell r="E177" t="str">
            <v>Other Plant &amp; Misc. Equipment</v>
          </cell>
        </row>
        <row r="178">
          <cell r="A178">
            <v>29</v>
          </cell>
          <cell r="B178" t="str">
            <v>General Plant</v>
          </cell>
          <cell r="D178" t="str">
            <v>GENERAL PLANT</v>
          </cell>
        </row>
        <row r="179">
          <cell r="A179">
            <v>30</v>
          </cell>
          <cell r="B179">
            <v>353</v>
          </cell>
          <cell r="C179">
            <v>5</v>
          </cell>
          <cell r="D179" t="str">
            <v>353.5  Land &amp; Land Rights</v>
          </cell>
          <cell r="E179" t="str">
            <v>Land &amp; Land Rights</v>
          </cell>
        </row>
        <row r="180">
          <cell r="A180">
            <v>31</v>
          </cell>
          <cell r="B180">
            <v>354</v>
          </cell>
          <cell r="C180">
            <v>5</v>
          </cell>
          <cell r="D180" t="str">
            <v>354.5  Structrures &amp; Improvements</v>
          </cell>
          <cell r="E180" t="str">
            <v>Structrures &amp; Improvements</v>
          </cell>
        </row>
        <row r="181">
          <cell r="A181">
            <v>32</v>
          </cell>
          <cell r="B181">
            <v>390</v>
          </cell>
          <cell r="C181">
            <v>5</v>
          </cell>
          <cell r="D181" t="str">
            <v>390.5  Office Furniture &amp; Equipment</v>
          </cell>
          <cell r="E181" t="str">
            <v>Office Furniture &amp; Equipment</v>
          </cell>
          <cell r="F181">
            <v>38</v>
          </cell>
          <cell r="G181">
            <v>9</v>
          </cell>
          <cell r="H181">
            <v>18</v>
          </cell>
          <cell r="I181">
            <v>27</v>
          </cell>
        </row>
        <row r="182">
          <cell r="A182">
            <v>33</v>
          </cell>
          <cell r="B182">
            <v>391</v>
          </cell>
          <cell r="C182">
            <v>5</v>
          </cell>
          <cell r="D182" t="str">
            <v>391.5  Transportation Equipment</v>
          </cell>
          <cell r="E182" t="str">
            <v>Transportation Equipment</v>
          </cell>
        </row>
        <row r="183">
          <cell r="A183">
            <v>34</v>
          </cell>
          <cell r="B183">
            <v>392</v>
          </cell>
          <cell r="C183">
            <v>5</v>
          </cell>
          <cell r="D183" t="str">
            <v>392.5  Stores Equipment</v>
          </cell>
          <cell r="E183" t="str">
            <v>Stores Equipment</v>
          </cell>
        </row>
        <row r="184">
          <cell r="A184">
            <v>35</v>
          </cell>
          <cell r="B184">
            <v>393</v>
          </cell>
          <cell r="C184">
            <v>5</v>
          </cell>
          <cell r="D184" t="str">
            <v>393.5  Tools, Shop &amp; Garage Equipment</v>
          </cell>
          <cell r="E184" t="str">
            <v>Tools, Shop &amp; Garage Equipment</v>
          </cell>
          <cell r="F184">
            <v>2020</v>
          </cell>
          <cell r="G184">
            <v>4</v>
          </cell>
          <cell r="H184">
            <v>7</v>
          </cell>
          <cell r="I184">
            <v>11</v>
          </cell>
        </row>
        <row r="185">
          <cell r="A185">
            <v>36</v>
          </cell>
          <cell r="B185">
            <v>394</v>
          </cell>
          <cell r="C185">
            <v>5</v>
          </cell>
          <cell r="D185" t="str">
            <v>394.5  Laboratory Equipment</v>
          </cell>
          <cell r="E185" t="str">
            <v>Laboratory Equipment</v>
          </cell>
        </row>
        <row r="186">
          <cell r="A186">
            <v>37</v>
          </cell>
          <cell r="B186">
            <v>395</v>
          </cell>
          <cell r="C186">
            <v>5</v>
          </cell>
          <cell r="D186" t="str">
            <v>395.5  Power Operated Equipment</v>
          </cell>
          <cell r="E186" t="str">
            <v>Power Operated Equipment</v>
          </cell>
        </row>
        <row r="187">
          <cell r="A187">
            <v>38</v>
          </cell>
          <cell r="B187">
            <v>396</v>
          </cell>
          <cell r="C187">
            <v>5</v>
          </cell>
          <cell r="D187" t="str">
            <v>396.5  Communication Equipment</v>
          </cell>
          <cell r="E187" t="str">
            <v>Communication Equipment</v>
          </cell>
        </row>
        <row r="188">
          <cell r="A188">
            <v>39</v>
          </cell>
          <cell r="B188">
            <v>397</v>
          </cell>
          <cell r="C188">
            <v>5</v>
          </cell>
          <cell r="D188" t="str">
            <v>397.5  Miscellaneous Equipment</v>
          </cell>
          <cell r="E188" t="str">
            <v>Miscellaneous Equipment</v>
          </cell>
        </row>
        <row r="189">
          <cell r="A189">
            <v>40</v>
          </cell>
          <cell r="B189">
            <v>398</v>
          </cell>
          <cell r="C189">
            <v>5</v>
          </cell>
          <cell r="D189" t="str">
            <v>398.5  Other Tangible Plant</v>
          </cell>
          <cell r="E189" t="str">
            <v>Other Tangible Plant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2"/>
      <sheetName val="CONTENTS vol 1"/>
      <sheetName val="A 1"/>
      <sheetName val="A 2"/>
      <sheetName val="A 3"/>
      <sheetName val="A 4"/>
      <sheetName val="A 5"/>
      <sheetName val="A 5 (a)"/>
      <sheetName val="A 6"/>
      <sheetName val="A 6 (a)"/>
      <sheetName val="A 7"/>
      <sheetName val="A 8"/>
      <sheetName val="A 9"/>
      <sheetName val="A 9 (a)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9 "/>
      <sheetName val="B 1"/>
      <sheetName val="B 2"/>
      <sheetName val="B 3"/>
      <sheetName val="B 4"/>
      <sheetName val="B 5"/>
      <sheetName val="B 5 (a)"/>
      <sheetName val="B 6"/>
      <sheetName val="B 6 (a)"/>
      <sheetName val="B 7"/>
      <sheetName val="B 8"/>
      <sheetName val="B-9"/>
      <sheetName val="B 10"/>
      <sheetName val="B 11"/>
      <sheetName val="B12 - 1.31.2010"/>
      <sheetName val="B12 - 2.28.2010"/>
      <sheetName val="B12 - 3.31.2010"/>
      <sheetName val="B12 - 4.30.2010"/>
      <sheetName val="B12 - 5.31.2010"/>
      <sheetName val="B12 - 6.30.2010"/>
      <sheetName val="B12 - 7.31.2010"/>
      <sheetName val="B12 - 8.31.2010"/>
      <sheetName val="B12 - 9.30.2010"/>
      <sheetName val="B12 - 10.31.2010"/>
      <sheetName val="B12 - 11.30.2010"/>
      <sheetName val="B12 - 12.31.2010"/>
      <sheetName val="B12 - Test Year"/>
      <sheetName val="B 13"/>
      <sheetName val="B 14"/>
      <sheetName val="B 15"/>
      <sheetName val="C INSTRUCT"/>
      <sheetName val="C 1"/>
      <sheetName val="C 2 (W) (S)"/>
      <sheetName val="C 3"/>
      <sheetName val="C 4"/>
      <sheetName val="C 5 (W) (S)"/>
      <sheetName val="C 6"/>
      <sheetName val="C 7"/>
      <sheetName val="C 8"/>
      <sheetName val="C 9"/>
      <sheetName val="C 10"/>
      <sheetName val="D-1"/>
      <sheetName val="D-2"/>
      <sheetName val="D 2 (a)"/>
      <sheetName val="D-3"/>
      <sheetName val="D-4"/>
      <sheetName val="D-5"/>
      <sheetName val="D-6"/>
      <sheetName val="D 7"/>
      <sheetName val="E-1 W"/>
      <sheetName val="E-1 S"/>
      <sheetName val="E-2 W "/>
      <sheetName val="E-2 S"/>
      <sheetName val="E-3"/>
      <sheetName val="E-4 W"/>
      <sheetName val="E-4 S"/>
      <sheetName val="E-5 W"/>
      <sheetName val="E-5 S"/>
      <sheetName val="E-6"/>
      <sheetName val="E 7"/>
      <sheetName val="E 8"/>
      <sheetName val="E 9"/>
      <sheetName val="E 10 Water"/>
      <sheetName val="E 10 Sewer"/>
      <sheetName val="E 11"/>
      <sheetName val="E 12"/>
      <sheetName val="E 13"/>
      <sheetName val="E 14"/>
      <sheetName val="F-1"/>
      <sheetName val="F-2"/>
      <sheetName val="F-3"/>
      <sheetName val="F-4"/>
      <sheetName val="F-5"/>
      <sheetName val="F-6"/>
      <sheetName val="F-6(2)"/>
      <sheetName val="F-7"/>
      <sheetName val="F-8"/>
      <sheetName val="F-9"/>
      <sheetName val="F-10"/>
      <sheetName val="A 1 INT"/>
      <sheetName val="A 2 INT"/>
      <sheetName val="A 3 INT"/>
      <sheetName val="A 7 INT"/>
      <sheetName val="B 1 INT"/>
      <sheetName val="B 2 INT"/>
      <sheetName val="B 3 INT"/>
      <sheetName val="B 15 INT"/>
      <sheetName val="C 1 INT"/>
      <sheetName val="C 2 (W) (S) INT"/>
      <sheetName val="C 3 INT"/>
      <sheetName val="C 5 (W) (S) INT"/>
      <sheetName val="D-1 INT"/>
      <sheetName val="D-2 INT"/>
      <sheetName val="E-1 W INT"/>
      <sheetName val="E-1 S INT"/>
      <sheetName val="E-2 W INT"/>
      <sheetName val="E-2 S INT"/>
      <sheetName val="APPENDIX A PLANT ACCT "/>
      <sheetName val="O&amp;M EXPENSES ALLOCATED"/>
      <sheetName val="TAX EXPENSE"/>
      <sheetName val="REVENUE REQUIREMENTS"/>
      <sheetName val="PROFORMA YEAR"/>
      <sheetName val="INTERIM COST OF CAPITAL"/>
      <sheetName val="EQUITY RETURN CALCULATION"/>
      <sheetName val="259 13 Month BS UC"/>
      <sheetName val="259 12 Month IS UC"/>
      <sheetName val="2007 - 2009 &amp; Test Year BS"/>
      <sheetName val="259 ERC Count Companies 12-10"/>
      <sheetName val="tax calculations"/>
      <sheetName val="SE3"/>
      <sheetName val="LTD-lead"/>
      <sheetName val="LTD-detail"/>
      <sheetName val="STD"/>
      <sheetName val="Common Equity"/>
      <sheetName val="ADIT, CD, ITC"/>
      <sheetName val="Leverage Formula in D schedule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PPENDIX A PLANT ACCT REC"/>
      <sheetName val="A 1"/>
      <sheetName val="A 2"/>
      <sheetName val="A 3"/>
      <sheetName val="A 4"/>
      <sheetName val="A 5 "/>
      <sheetName val="A 6"/>
      <sheetName val="A 7"/>
      <sheetName val="A 8"/>
      <sheetName val="A 9"/>
      <sheetName val="A 10"/>
      <sheetName val="A 11"/>
      <sheetName val="A 12"/>
      <sheetName val="A 13"/>
      <sheetName val="A 14"/>
      <sheetName val="A 15"/>
      <sheetName val="A 16"/>
      <sheetName val="A 17"/>
      <sheetName val="A 18"/>
      <sheetName val="A 19"/>
      <sheetName val="B 1"/>
      <sheetName val="B 2"/>
      <sheetName val="B 3"/>
      <sheetName val="B 4"/>
      <sheetName val="B 5"/>
      <sheetName val="B 6"/>
      <sheetName val="B 7"/>
      <sheetName val="B 8"/>
      <sheetName val="B 9"/>
      <sheetName val="B 10"/>
      <sheetName val="B 11"/>
      <sheetName val="B12 (1)"/>
      <sheetName val="B12 (2)"/>
      <sheetName val="B12 (3)"/>
      <sheetName val="B12 (4)"/>
      <sheetName val="B 13"/>
      <sheetName val="B 14"/>
      <sheetName val="C INSTRUCT"/>
      <sheetName val="B 15"/>
      <sheetName val="C 1"/>
      <sheetName val="C 2 (W)"/>
      <sheetName val="C 2 (S)"/>
      <sheetName val="C 3 (W)"/>
      <sheetName val="C 3 (S)"/>
      <sheetName val="C 4"/>
      <sheetName val="C 5 (W)"/>
      <sheetName val="C 5 (S)"/>
      <sheetName val="C 6"/>
      <sheetName val="C 7"/>
      <sheetName val="C 8"/>
      <sheetName val="C 9"/>
      <sheetName val="C 10"/>
      <sheetName val="D-1"/>
      <sheetName val="D-2"/>
      <sheetName val="D-3"/>
      <sheetName val="D-4"/>
      <sheetName val="D-5"/>
      <sheetName val="D-6"/>
      <sheetName val="D 7"/>
      <sheetName val="E 1 W"/>
      <sheetName val="E 1 S"/>
      <sheetName val="E-2"/>
      <sheetName val="E-3"/>
      <sheetName val="E-4 "/>
      <sheetName val="E-5 (W)"/>
      <sheetName val="E-5 (S) "/>
      <sheetName val="E 6"/>
      <sheetName val="E 7"/>
      <sheetName val="E 8"/>
      <sheetName val="E 9 "/>
      <sheetName val="E-10"/>
      <sheetName val="E 11"/>
      <sheetName val="E 12"/>
      <sheetName val="E 13"/>
      <sheetName val="E 14"/>
      <sheetName val="D 4 (I)"/>
      <sheetName val="E 1 W (I)"/>
      <sheetName val="E 1 S (I)"/>
      <sheetName val="E-2 (I)"/>
      <sheetName val="6-30-07 Plant Acc Bal"/>
      <sheetName val="6-30-07 CIAC Bal &amp; Proj"/>
      <sheetName val="6-30-07 Balance Sheet"/>
      <sheetName val="Income Acc  Alloc "/>
      <sheetName val="Interest Expense Adj"/>
      <sheetName val="6-30-07 Depreciation Exp"/>
      <sheetName val="Rev Requirements Final"/>
      <sheetName val="Rev Req Interim"/>
      <sheetName val="Computation of Rates Final"/>
      <sheetName val="Computation of Rates Interim"/>
      <sheetName val="ADJUSTED MONTHLY FINAL"/>
      <sheetName val="APPENDIX B INC. STAT.ACCT RE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4">
          <cell r="D4" t="str">
            <v>Page 1 of 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PPENDIX A PLANT ACCT REC"/>
      <sheetName val="A 1"/>
      <sheetName val="A 2"/>
      <sheetName val="A 3"/>
      <sheetName val="A 4"/>
      <sheetName val="A 5 "/>
      <sheetName val="A 6"/>
      <sheetName val="A 7"/>
      <sheetName val="A 8"/>
      <sheetName val="A 9"/>
      <sheetName val="A 10"/>
      <sheetName val="A 11"/>
      <sheetName val="A 12"/>
      <sheetName val="A 13"/>
      <sheetName val="A 14"/>
      <sheetName val="A 15"/>
      <sheetName val="A 16"/>
      <sheetName val="A 17"/>
      <sheetName val="A 18"/>
      <sheetName val="A 19"/>
      <sheetName val="B 1"/>
      <sheetName val="B 2"/>
      <sheetName val="B 3"/>
      <sheetName val="B 4"/>
      <sheetName val="B 5"/>
      <sheetName val="B 6"/>
      <sheetName val="B 7"/>
      <sheetName val="B 8"/>
      <sheetName val="B 9"/>
      <sheetName val="B 10"/>
      <sheetName val="B 11"/>
      <sheetName val="B12 (1)"/>
      <sheetName val="B12 (2)"/>
      <sheetName val="B12 (3)"/>
      <sheetName val="B12 (4)"/>
      <sheetName val="B 13"/>
      <sheetName val="B 14"/>
      <sheetName val="C INSTRUCT"/>
      <sheetName val="B 15"/>
      <sheetName val="C 1"/>
      <sheetName val="C 2 (W)"/>
      <sheetName val="C 2 (S)"/>
      <sheetName val="C 3 (W)"/>
      <sheetName val="C 3 (S)"/>
      <sheetName val="C 4"/>
      <sheetName val="C 5 (W)"/>
      <sheetName val="C 5 (S)"/>
      <sheetName val="C 6"/>
      <sheetName val="C 7"/>
      <sheetName val="C 8"/>
      <sheetName val="C 9"/>
      <sheetName val="C 10"/>
      <sheetName val="D-1"/>
      <sheetName val="D-2"/>
      <sheetName val="D-3"/>
      <sheetName val="D-4"/>
      <sheetName val="D-5"/>
      <sheetName val="D-6"/>
      <sheetName val="D 7"/>
      <sheetName val="E 1 W"/>
      <sheetName val="E 1 S"/>
      <sheetName val="E-2"/>
      <sheetName val="E-3"/>
      <sheetName val="E-4 "/>
      <sheetName val="E-5 (W)"/>
      <sheetName val="E-5 (S) "/>
      <sheetName val="E 6"/>
      <sheetName val="E 7"/>
      <sheetName val="E 8"/>
      <sheetName val="E 9 "/>
      <sheetName val="E-10"/>
      <sheetName val="E 11"/>
      <sheetName val="E 12"/>
      <sheetName val="E 13"/>
      <sheetName val="E 14"/>
      <sheetName val="D 4 (I)"/>
      <sheetName val="E 1 W (I)"/>
      <sheetName val="E 1 S (I)"/>
      <sheetName val="E-2 (I)"/>
      <sheetName val="6-30-07 Plant Acc Bal"/>
      <sheetName val="6-30-07 CIAC Bal &amp; Proj"/>
      <sheetName val="6-30-07 Balance Sheet"/>
      <sheetName val="Income Acc  Alloc "/>
      <sheetName val="Interest Expense Adj"/>
      <sheetName val="6-30-07 Depreciation Exp"/>
      <sheetName val="Rev Requirements Final"/>
      <sheetName val="Rev Req Interim"/>
      <sheetName val="Computation of Rates Final"/>
      <sheetName val="Computation of Rates Interim"/>
      <sheetName val="ADJUSTED MONTHLY FINAL"/>
      <sheetName val="APPENDIX B INC. STAT.ACCT RE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4">
          <cell r="D4" t="str">
            <v>Page 1 of 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PPENDIX A PLANT ACCT REC"/>
      <sheetName val="A 2"/>
      <sheetName val="A 3"/>
      <sheetName val="A 4"/>
      <sheetName val="A 6"/>
      <sheetName val="A 7"/>
      <sheetName val="A 8"/>
      <sheetName val="A 10"/>
      <sheetName val="A 11"/>
      <sheetName val="A 12"/>
      <sheetName val="A 13"/>
      <sheetName val="A 14"/>
      <sheetName val="A 15"/>
      <sheetName val="A 16"/>
      <sheetName val="A 17"/>
      <sheetName val="A 18"/>
      <sheetName val="A 19"/>
      <sheetName val="B 2"/>
      <sheetName val="B 3"/>
      <sheetName val="B 4"/>
      <sheetName val="B 6"/>
      <sheetName val="B 8"/>
      <sheetName val="B 9"/>
      <sheetName val="B 10"/>
      <sheetName val="B 11"/>
      <sheetName val="B12 (1)"/>
      <sheetName val="B12 (2)"/>
      <sheetName val="B12 (3)"/>
      <sheetName val="B12 (4)"/>
      <sheetName val="B12 (5)"/>
      <sheetName val="B 14"/>
      <sheetName val="C INSTRUCT"/>
      <sheetName val="B 15"/>
      <sheetName val="C 1"/>
      <sheetName val="C 2 (S)"/>
      <sheetName val="C 3 (S)"/>
      <sheetName val="C 4"/>
      <sheetName val="C 5 (S)"/>
      <sheetName val="C 6"/>
      <sheetName val="C 7"/>
      <sheetName val="C 8"/>
      <sheetName val="C 9"/>
      <sheetName val="C 10"/>
      <sheetName val="D-1"/>
      <sheetName val="D-2"/>
      <sheetName val="D-3"/>
      <sheetName val="D-4"/>
      <sheetName val="D-5"/>
      <sheetName val="D-6"/>
      <sheetName val="D 7"/>
      <sheetName val="E 1 S"/>
      <sheetName val="E-2"/>
      <sheetName val="E-3"/>
      <sheetName val="E-4 "/>
      <sheetName val="E-5 (S) "/>
      <sheetName val="E 6"/>
      <sheetName val="E 7"/>
      <sheetName val="E 8"/>
      <sheetName val="E 9 "/>
      <sheetName val="E-10"/>
      <sheetName val="E 11"/>
      <sheetName val="E 12"/>
      <sheetName val="E 13"/>
      <sheetName val="E 14"/>
      <sheetName val="F-2"/>
      <sheetName val="F-4"/>
      <sheetName val="F-6"/>
      <sheetName val="F-6(2)"/>
      <sheetName val="F-7"/>
      <sheetName val="F-8"/>
      <sheetName val="F-10"/>
      <sheetName val="A 2 (I)"/>
      <sheetName val="A 3 (I)"/>
      <sheetName val="B 2 (I)"/>
      <sheetName val="B 3 (I)"/>
      <sheetName val="B 15 (I)"/>
      <sheetName val="C 1 (I)"/>
      <sheetName val="C 2 (I)"/>
      <sheetName val="C 3 (I)"/>
      <sheetName val="C 5 (I) "/>
      <sheetName val="D-1 (I)"/>
      <sheetName val="D-2 (I)"/>
      <sheetName val="D 4 (I)"/>
      <sheetName val="E 1 S (I)"/>
      <sheetName val="E-2 (I)"/>
      <sheetName val=" Plant Acc Bal"/>
      <sheetName val=" CIAC Bal &amp; Proj"/>
      <sheetName val="Balance Sheet"/>
      <sheetName val="Income Acc  Alloc "/>
      <sheetName val="Interest Expense Adj"/>
      <sheetName val=" Depreciation Exp"/>
      <sheetName val="Rev Requirements Final"/>
      <sheetName val="Rev Req Interim"/>
      <sheetName val="Computation of Rates Final"/>
      <sheetName val="ADJUSTED MONTHLY FINAL"/>
      <sheetName val="APPENDIX B INC. STAT.ACCT RE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D4" t="str">
            <v>Page 1 of 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base"/>
      <sheetName val="Noi"/>
      <sheetName val="Adjs"/>
      <sheetName val="Cap"/>
      <sheetName val="Plnt"/>
      <sheetName val="Ciac"/>
      <sheetName val="UUsum"/>
      <sheetName val="Wca"/>
      <sheetName val="AnnualizedRevs"/>
      <sheetName val="OMexp"/>
      <sheetName val="Toti"/>
      <sheetName val="RevRq"/>
      <sheetName val="RevAlloc"/>
      <sheetName val="RateSch"/>
      <sheetName val="BillDeter"/>
      <sheetName val="Security"/>
      <sheetName val="Agreed Audit Adjs."/>
      <sheetName val="A.F.No 2 Plant Sample"/>
      <sheetName val="A.F. No. 3 Proforma"/>
      <sheetName val="A.F. No. 4  ERC Proforma Adj."/>
      <sheetName val="A.F. No. 5 Proj. Phoenix"/>
      <sheetName val="A.F. No. 8-Acc.Amort. of CIAC "/>
      <sheetName val="A.F. 11 Salaries"/>
      <sheetName val="A.F. No. 14 Rate Case Exp."/>
      <sheetName val="A.F.No. 15-HDQ Samples "/>
      <sheetName val="A.F. No. 16-Deferred Maint."/>
      <sheetName val="A.F. 17 O&amp;M Sample"/>
      <sheetName val="A.F. No. 19-Alloc. of TOTI"/>
      <sheetName val="Bad Debt Exp. Adj."/>
      <sheetName val="Chem.Exp.Adj."/>
      <sheetName val="Fuel Expense"/>
      <sheetName val="Plant-CWIP"/>
      <sheetName val="Relocation Exp."/>
      <sheetName val="Working Capital Adj. "/>
      <sheetName val="Reuse bills"/>
      <sheetName val="Macros"/>
    </sheetNames>
    <sheetDataSet>
      <sheetData sheetId="0" refreshError="1">
        <row r="14">
          <cell r="D14" t="str">
            <v>Sanlando Utilities Corporation</v>
          </cell>
        </row>
        <row r="16">
          <cell r="D16" t="str">
            <v>Test Year Ended 12/31/08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Sanlando Utilities Corporation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cros"/>
      <sheetName val="COVER"/>
      <sheetName val="CONTENTS vol 1"/>
      <sheetName val="CONTENTS vol 2"/>
      <sheetName val="APPENDIX A PLANT ACCT REC"/>
      <sheetName val="A 1"/>
      <sheetName val="A 2"/>
      <sheetName val="A 3"/>
      <sheetName val="A 4"/>
      <sheetName val="A 5"/>
      <sheetName val="A 5 (a)"/>
      <sheetName val="A 6"/>
      <sheetName val="A 6 (a)"/>
      <sheetName val="A 7"/>
      <sheetName val="A 8"/>
      <sheetName val="A 9"/>
      <sheetName val="A 9 (a)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8 (a)"/>
      <sheetName val="A 19"/>
      <sheetName val="A 19 (a)"/>
      <sheetName val="B 1"/>
      <sheetName val="B 2"/>
      <sheetName val="B 3"/>
      <sheetName val="B 4"/>
      <sheetName val="B 5"/>
      <sheetName val="B 6"/>
      <sheetName val="B 7"/>
      <sheetName val="B 8"/>
      <sheetName val="B 9"/>
      <sheetName val="B 10"/>
      <sheetName val="B 11"/>
      <sheetName val="B 12"/>
      <sheetName val="B 13"/>
      <sheetName val="B 14"/>
      <sheetName val="B 15"/>
      <sheetName val="C INSTRUCT"/>
      <sheetName val="C 1"/>
      <sheetName val="C 2 (w)"/>
      <sheetName val="C 2 (s)"/>
      <sheetName val="C 3"/>
      <sheetName val="C 4"/>
      <sheetName val="C 5 (w)"/>
      <sheetName val="C 5 (s)"/>
      <sheetName val="C 6"/>
      <sheetName val="C 7"/>
      <sheetName val="C 8"/>
      <sheetName val="C 9"/>
      <sheetName val="C 10"/>
      <sheetName val="D 1"/>
      <sheetName val="D 2"/>
      <sheetName val="D 3"/>
      <sheetName val="D 4"/>
      <sheetName val="D 5"/>
      <sheetName val="D 6"/>
      <sheetName val="D 7"/>
      <sheetName val="E 1 (w)"/>
      <sheetName val="E 1 (s)"/>
      <sheetName val="E 2 (w)"/>
      <sheetName val="E 2 (s)"/>
      <sheetName val="E 3"/>
      <sheetName val="E 4 (w)"/>
      <sheetName val="E 4 (s)"/>
      <sheetName val="E 5 (w)"/>
      <sheetName val="E 5 (s)"/>
      <sheetName val="E 6"/>
      <sheetName val="E 7"/>
      <sheetName val="E 8"/>
      <sheetName val="E 9"/>
      <sheetName val="E 10"/>
      <sheetName val="E 11"/>
      <sheetName val="E 12"/>
      <sheetName val="E 13"/>
      <sheetName val="E 14"/>
      <sheetName val="B 15 (I)"/>
      <sheetName val="A 1 (I)"/>
      <sheetName val="A 2 (I) "/>
      <sheetName val="A 3 (I) "/>
      <sheetName val="B 1 (I) "/>
      <sheetName val="B 2 (I) "/>
      <sheetName val="B 3 (I)"/>
      <sheetName val="C 1 (I)"/>
      <sheetName val="C 2 (W) (I)"/>
      <sheetName val="C 2 (S) (I)"/>
      <sheetName val="C 5 (W) (I)"/>
      <sheetName val="C 5 (S) (I)"/>
      <sheetName val="D 1 (I)"/>
      <sheetName val="D 2 (I)"/>
      <sheetName val="E 1 W (I)"/>
      <sheetName val="E 1 S (I)"/>
      <sheetName val="E 2 W (I)"/>
      <sheetName val="E 2 S (I)"/>
      <sheetName val="Trial Blc"/>
      <sheetName val="P&amp;L Per TB"/>
      <sheetName val="12-31-15 Plant Acc Bal_PerAR"/>
      <sheetName val="12-31-15 Depreciation Exp_PerAR"/>
      <sheetName val="12-31-15 CIAC Bal &amp; Proj_PerAR"/>
      <sheetName val="Other BalSheet Acct_PerAR"/>
      <sheetName val="12 Month IS UC"/>
      <sheetName val="IncomeAccountsAllocationPerAR "/>
      <sheetName val="O&amp;M EXPENSES TO BE ALLOCATED"/>
      <sheetName val="O&amp;M EXPENSES ALLOCATED TO WATER"/>
      <sheetName val="O&amp;M EXPENSES ALLOCATED TO SEWER"/>
      <sheetName val="Working Capital_PerAR"/>
      <sheetName val="ADJUSTED MONTHLY FINAL"/>
      <sheetName val="APPENDIX B INC. STAT.ACCT RECON"/>
      <sheetName val="Interest Expense Adj_PerAR"/>
      <sheetName val="C 5 Calculation"/>
      <sheetName val="Property Taxes"/>
      <sheetName val="AR to MFR"/>
      <sheetName val="Rev Requirements Final"/>
      <sheetName val="Rev Requirements Interim"/>
      <sheetName val="Reuse RateBase"/>
      <sheetName val="CommonPlant_PerAR-not used"/>
      <sheetName val="TAX EXPENSE-not used"/>
      <sheetName val="REVENUE REQUIREMENTS"/>
      <sheetName val="PROFORMA YEAR"/>
      <sheetName val="INTERIM COST OF CAPI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">
          <cell r="C4" t="str">
            <v>Page 1 of 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E in ,000"/>
      <sheetName val="ROE"/>
      <sheetName val="UI ROE Relief"/>
      <sheetName val="Com ROE Relief"/>
      <sheetName val="Rate Case Revenue"/>
      <sheetName val="Ratebase"/>
      <sheetName val="Net Plant"/>
      <sheetName val="IS"/>
      <sheetName val="Effective Tax"/>
      <sheetName val="Jurisd Tax"/>
      <sheetName val="D-E"/>
      <sheetName val="Data"/>
      <sheetName val="Reports"/>
      <sheetName val="Closed Reg Rev"/>
      <sheetName val="Pending Reg Rev"/>
      <sheetName val="FORM.COS.SUBS.LIST"/>
      <sheetName val="Co by State"/>
      <sheetName val="9000'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3">
          <cell r="C13">
            <v>1</v>
          </cell>
          <cell r="D13">
            <v>688555.68</v>
          </cell>
          <cell r="F13">
            <v>4</v>
          </cell>
          <cell r="G13">
            <v>0</v>
          </cell>
          <cell r="I13">
            <v>1</v>
          </cell>
          <cell r="J13">
            <v>-149165.1</v>
          </cell>
          <cell r="L13">
            <v>1</v>
          </cell>
          <cell r="M13">
            <v>-9632854</v>
          </cell>
          <cell r="O13">
            <v>4</v>
          </cell>
          <cell r="P13">
            <v>450000</v>
          </cell>
          <cell r="R13">
            <v>4</v>
          </cell>
          <cell r="S13">
            <v>-340495.16</v>
          </cell>
          <cell r="U13">
            <v>2</v>
          </cell>
          <cell r="V13">
            <v>0</v>
          </cell>
          <cell r="X13">
            <v>1</v>
          </cell>
          <cell r="Y13">
            <v>-1412616.3</v>
          </cell>
          <cell r="AA13">
            <v>6</v>
          </cell>
          <cell r="AB13">
            <v>-350</v>
          </cell>
          <cell r="BE13">
            <v>5</v>
          </cell>
          <cell r="BF13">
            <v>24823.043409200007</v>
          </cell>
          <cell r="CF13">
            <v>1</v>
          </cell>
          <cell r="CG13" t="str">
            <v>Y</v>
          </cell>
        </row>
        <row r="14">
          <cell r="C14">
            <v>2</v>
          </cell>
          <cell r="D14">
            <v>6756002.0199999996</v>
          </cell>
          <cell r="F14">
            <v>5</v>
          </cell>
          <cell r="G14">
            <v>0</v>
          </cell>
          <cell r="I14">
            <v>2</v>
          </cell>
          <cell r="J14">
            <v>-4691567.1500000004</v>
          </cell>
          <cell r="L14">
            <v>18</v>
          </cell>
          <cell r="M14">
            <v>27837.56</v>
          </cell>
          <cell r="O14">
            <v>5</v>
          </cell>
          <cell r="P14">
            <v>-450000</v>
          </cell>
          <cell r="R14">
            <v>5</v>
          </cell>
          <cell r="S14">
            <v>-583336.21</v>
          </cell>
          <cell r="U14">
            <v>5</v>
          </cell>
          <cell r="V14">
            <v>3446.76</v>
          </cell>
          <cell r="X14">
            <v>2</v>
          </cell>
          <cell r="Y14">
            <v>-417573</v>
          </cell>
          <cell r="AA14">
            <v>13</v>
          </cell>
          <cell r="AB14">
            <v>-145</v>
          </cell>
          <cell r="BE14">
            <v>6</v>
          </cell>
          <cell r="BF14">
            <v>6108.3140748000005</v>
          </cell>
          <cell r="CF14">
            <v>2</v>
          </cell>
          <cell r="CG14" t="str">
            <v>Y</v>
          </cell>
        </row>
        <row r="15">
          <cell r="C15">
            <v>5</v>
          </cell>
          <cell r="D15">
            <v>2276220.59</v>
          </cell>
          <cell r="F15">
            <v>12</v>
          </cell>
          <cell r="G15">
            <v>-153268.37</v>
          </cell>
          <cell r="I15">
            <v>5</v>
          </cell>
          <cell r="J15">
            <v>-538733.71</v>
          </cell>
          <cell r="L15">
            <v>21</v>
          </cell>
          <cell r="M15">
            <v>102722.39</v>
          </cell>
          <cell r="O15">
            <v>23</v>
          </cell>
          <cell r="P15">
            <v>-975</v>
          </cell>
          <cell r="R15">
            <v>6</v>
          </cell>
          <cell r="S15">
            <v>-272780</v>
          </cell>
          <cell r="U15">
            <v>7</v>
          </cell>
          <cell r="V15">
            <v>3101.75</v>
          </cell>
          <cell r="X15">
            <v>4</v>
          </cell>
          <cell r="Y15">
            <v>1405724</v>
          </cell>
          <cell r="AA15">
            <v>24</v>
          </cell>
          <cell r="AB15">
            <v>-312</v>
          </cell>
          <cell r="BE15">
            <v>7</v>
          </cell>
          <cell r="BF15">
            <v>1074.4178665000002</v>
          </cell>
          <cell r="CF15">
            <v>4</v>
          </cell>
          <cell r="CG15" t="str">
            <v>Y</v>
          </cell>
        </row>
        <row r="16">
          <cell r="C16">
            <v>6</v>
          </cell>
          <cell r="D16">
            <v>1433009.07</v>
          </cell>
          <cell r="F16">
            <v>25</v>
          </cell>
          <cell r="G16">
            <v>0</v>
          </cell>
          <cell r="I16">
            <v>6</v>
          </cell>
          <cell r="J16">
            <v>-213683.09</v>
          </cell>
          <cell r="L16">
            <v>25</v>
          </cell>
          <cell r="M16">
            <v>24482</v>
          </cell>
          <cell r="O16">
            <v>28</v>
          </cell>
          <cell r="P16">
            <v>-5475</v>
          </cell>
          <cell r="R16">
            <v>7</v>
          </cell>
          <cell r="S16">
            <v>-1672</v>
          </cell>
          <cell r="U16">
            <v>8</v>
          </cell>
          <cell r="V16">
            <v>3964.03</v>
          </cell>
          <cell r="X16">
            <v>5</v>
          </cell>
          <cell r="Y16">
            <v>-93194</v>
          </cell>
          <cell r="AA16">
            <v>30</v>
          </cell>
          <cell r="AB16">
            <v>-36</v>
          </cell>
          <cell r="BE16">
            <v>8</v>
          </cell>
          <cell r="BF16">
            <v>4739.6431473000011</v>
          </cell>
          <cell r="CF16">
            <v>5</v>
          </cell>
          <cell r="CG16" t="str">
            <v>Y</v>
          </cell>
        </row>
        <row r="17">
          <cell r="C17">
            <v>7</v>
          </cell>
          <cell r="D17">
            <v>149716.32999999999</v>
          </cell>
          <cell r="F17">
            <v>34</v>
          </cell>
          <cell r="G17">
            <v>3168.25</v>
          </cell>
          <cell r="I17">
            <v>7</v>
          </cell>
          <cell r="J17">
            <v>-8889.58</v>
          </cell>
          <cell r="L17">
            <v>27</v>
          </cell>
          <cell r="M17">
            <v>-963620.89</v>
          </cell>
          <cell r="O17">
            <v>36</v>
          </cell>
          <cell r="P17">
            <v>-56796</v>
          </cell>
          <cell r="R17">
            <v>8</v>
          </cell>
          <cell r="S17">
            <v>-3043.45</v>
          </cell>
          <cell r="U17">
            <v>11</v>
          </cell>
          <cell r="V17">
            <v>0</v>
          </cell>
          <cell r="X17">
            <v>6</v>
          </cell>
          <cell r="Y17">
            <v>-147945</v>
          </cell>
          <cell r="AA17">
            <v>32</v>
          </cell>
          <cell r="AB17">
            <v>-280</v>
          </cell>
          <cell r="BE17">
            <v>9</v>
          </cell>
          <cell r="BF17">
            <v>7262.0274267000023</v>
          </cell>
          <cell r="CF17">
            <v>6</v>
          </cell>
          <cell r="CG17" t="str">
            <v>Y</v>
          </cell>
        </row>
        <row r="18">
          <cell r="C18">
            <v>8</v>
          </cell>
          <cell r="D18">
            <v>205138.07</v>
          </cell>
          <cell r="F18">
            <v>35</v>
          </cell>
          <cell r="G18">
            <v>461446.03</v>
          </cell>
          <cell r="I18">
            <v>8</v>
          </cell>
          <cell r="J18">
            <v>-18446.599999999999</v>
          </cell>
          <cell r="L18">
            <v>34</v>
          </cell>
          <cell r="M18">
            <v>485498.88</v>
          </cell>
          <cell r="O18">
            <v>70</v>
          </cell>
          <cell r="P18">
            <v>2400</v>
          </cell>
          <cell r="R18">
            <v>9</v>
          </cell>
          <cell r="S18">
            <v>-33384.82</v>
          </cell>
          <cell r="U18">
            <v>12</v>
          </cell>
          <cell r="V18">
            <v>8414.3700000000008</v>
          </cell>
          <cell r="X18">
            <v>7</v>
          </cell>
          <cell r="Y18">
            <v>-16011</v>
          </cell>
          <cell r="AA18">
            <v>33</v>
          </cell>
          <cell r="AB18">
            <v>-250</v>
          </cell>
          <cell r="BE18">
            <v>10</v>
          </cell>
          <cell r="BF18">
            <v>0</v>
          </cell>
          <cell r="CF18">
            <v>7</v>
          </cell>
          <cell r="CG18" t="str">
            <v>Y</v>
          </cell>
        </row>
        <row r="19">
          <cell r="C19">
            <v>9</v>
          </cell>
          <cell r="D19">
            <v>484758.46</v>
          </cell>
          <cell r="F19">
            <v>36</v>
          </cell>
          <cell r="G19">
            <v>663847.37</v>
          </cell>
          <cell r="I19">
            <v>9</v>
          </cell>
          <cell r="J19">
            <v>-52441.39</v>
          </cell>
          <cell r="L19">
            <v>36</v>
          </cell>
          <cell r="M19">
            <v>-117417.65</v>
          </cell>
          <cell r="O19">
            <v>80</v>
          </cell>
          <cell r="P19">
            <v>-34510</v>
          </cell>
          <cell r="R19">
            <v>11</v>
          </cell>
          <cell r="S19">
            <v>-17294.22</v>
          </cell>
          <cell r="U19">
            <v>13</v>
          </cell>
          <cell r="V19">
            <v>2984.25</v>
          </cell>
          <cell r="X19">
            <v>8</v>
          </cell>
          <cell r="Y19">
            <v>-11577</v>
          </cell>
          <cell r="AA19">
            <v>34</v>
          </cell>
          <cell r="AB19">
            <v>-84250</v>
          </cell>
          <cell r="BE19">
            <v>11</v>
          </cell>
          <cell r="BF19">
            <v>2277.1194064000001</v>
          </cell>
          <cell r="CF19">
            <v>8</v>
          </cell>
          <cell r="CG19" t="str">
            <v>Y</v>
          </cell>
        </row>
        <row r="20">
          <cell r="C20">
            <v>11</v>
          </cell>
          <cell r="D20">
            <v>116028.15</v>
          </cell>
          <cell r="F20">
            <v>38</v>
          </cell>
          <cell r="G20">
            <v>554049.14</v>
          </cell>
          <cell r="I20">
            <v>11</v>
          </cell>
          <cell r="J20">
            <v>-18023.96</v>
          </cell>
          <cell r="L20">
            <v>38</v>
          </cell>
          <cell r="M20">
            <v>-6341801.4500000002</v>
          </cell>
          <cell r="O20">
            <v>89</v>
          </cell>
          <cell r="P20">
            <v>-38400</v>
          </cell>
          <cell r="R20">
            <v>13</v>
          </cell>
          <cell r="S20">
            <v>-1032850.1</v>
          </cell>
          <cell r="U20">
            <v>14</v>
          </cell>
          <cell r="V20">
            <v>0</v>
          </cell>
          <cell r="X20">
            <v>9</v>
          </cell>
          <cell r="Y20">
            <v>-40240</v>
          </cell>
          <cell r="AA20">
            <v>35</v>
          </cell>
          <cell r="AB20">
            <v>-33840.53</v>
          </cell>
          <cell r="BE20">
            <v>12</v>
          </cell>
          <cell r="BF20">
            <v>1040.1696474999999</v>
          </cell>
          <cell r="CF20">
            <v>9</v>
          </cell>
          <cell r="CG20" t="str">
            <v>Y</v>
          </cell>
        </row>
        <row r="21">
          <cell r="C21">
            <v>12</v>
          </cell>
          <cell r="D21">
            <v>291422.34999999998</v>
          </cell>
          <cell r="F21">
            <v>40</v>
          </cell>
          <cell r="G21">
            <v>12530</v>
          </cell>
          <cell r="I21">
            <v>12</v>
          </cell>
          <cell r="J21">
            <v>22146.25</v>
          </cell>
          <cell r="L21">
            <v>40</v>
          </cell>
          <cell r="M21">
            <v>65673.55</v>
          </cell>
          <cell r="O21">
            <v>90</v>
          </cell>
          <cell r="P21">
            <v>-97052</v>
          </cell>
          <cell r="R21">
            <v>14</v>
          </cell>
          <cell r="S21">
            <v>-3091748.55</v>
          </cell>
          <cell r="U21">
            <v>15</v>
          </cell>
          <cell r="V21">
            <v>1175.3</v>
          </cell>
          <cell r="X21">
            <v>11</v>
          </cell>
          <cell r="Y21">
            <v>-9391</v>
          </cell>
          <cell r="AA21">
            <v>36</v>
          </cell>
          <cell r="AB21">
            <v>-193723.6</v>
          </cell>
          <cell r="BE21">
            <v>13</v>
          </cell>
          <cell r="BF21">
            <v>10580.711716199998</v>
          </cell>
          <cell r="CF21">
            <v>11</v>
          </cell>
          <cell r="CG21" t="str">
            <v>Y</v>
          </cell>
        </row>
        <row r="22">
          <cell r="C22">
            <v>13</v>
          </cell>
          <cell r="D22">
            <v>2576779.79</v>
          </cell>
          <cell r="F22">
            <v>44</v>
          </cell>
          <cell r="G22">
            <v>326.75</v>
          </cell>
          <cell r="I22">
            <v>13</v>
          </cell>
          <cell r="J22">
            <v>-821309.92</v>
          </cell>
          <cell r="L22">
            <v>42</v>
          </cell>
          <cell r="M22">
            <v>40720.080000000002</v>
          </cell>
          <cell r="O22">
            <v>135</v>
          </cell>
          <cell r="P22">
            <v>-658710.19999999995</v>
          </cell>
          <cell r="R22">
            <v>15</v>
          </cell>
          <cell r="S22">
            <v>-32215.34</v>
          </cell>
          <cell r="U22">
            <v>16</v>
          </cell>
          <cell r="V22">
            <v>4276</v>
          </cell>
          <cell r="X22">
            <v>12</v>
          </cell>
          <cell r="Y22">
            <v>-56556</v>
          </cell>
          <cell r="AA22">
            <v>38</v>
          </cell>
          <cell r="AB22">
            <v>-102861.1</v>
          </cell>
          <cell r="BE22">
            <v>14</v>
          </cell>
          <cell r="BF22">
            <v>45948.676116100003</v>
          </cell>
          <cell r="CF22">
            <v>12</v>
          </cell>
          <cell r="CG22" t="str">
            <v>Y</v>
          </cell>
        </row>
        <row r="23">
          <cell r="C23">
            <v>14</v>
          </cell>
          <cell r="D23">
            <v>7411838.9100000001</v>
          </cell>
          <cell r="F23">
            <v>47</v>
          </cell>
          <cell r="G23">
            <v>585306.77</v>
          </cell>
          <cell r="I23">
            <v>14</v>
          </cell>
          <cell r="J23">
            <v>-1853280.79</v>
          </cell>
          <cell r="L23">
            <v>43</v>
          </cell>
          <cell r="M23">
            <v>198411.88</v>
          </cell>
          <cell r="O23">
            <v>160</v>
          </cell>
          <cell r="P23">
            <v>-113080.53</v>
          </cell>
          <cell r="R23">
            <v>16</v>
          </cell>
          <cell r="S23">
            <v>-380488</v>
          </cell>
          <cell r="U23">
            <v>17</v>
          </cell>
          <cell r="V23">
            <v>0</v>
          </cell>
          <cell r="X23">
            <v>13</v>
          </cell>
          <cell r="Y23">
            <v>-90076</v>
          </cell>
          <cell r="AA23">
            <v>40</v>
          </cell>
          <cell r="AB23">
            <v>-42215.58</v>
          </cell>
          <cell r="BE23">
            <v>15</v>
          </cell>
          <cell r="BF23">
            <v>6754.151913900002</v>
          </cell>
          <cell r="CF23">
            <v>13</v>
          </cell>
          <cell r="CG23" t="str">
            <v>Y</v>
          </cell>
        </row>
        <row r="24">
          <cell r="C24">
            <v>15</v>
          </cell>
          <cell r="D24">
            <v>293165.89</v>
          </cell>
          <cell r="F24">
            <v>51</v>
          </cell>
          <cell r="G24">
            <v>70367.09</v>
          </cell>
          <cell r="I24">
            <v>15</v>
          </cell>
          <cell r="J24">
            <v>-78528.899999999994</v>
          </cell>
          <cell r="L24">
            <v>44</v>
          </cell>
          <cell r="M24">
            <v>-87611.65</v>
          </cell>
          <cell r="R24">
            <v>17</v>
          </cell>
          <cell r="S24">
            <v>-109915.67</v>
          </cell>
          <cell r="U24">
            <v>18</v>
          </cell>
          <cell r="V24">
            <v>3950.24</v>
          </cell>
          <cell r="X24">
            <v>14</v>
          </cell>
          <cell r="Y24">
            <v>-312170</v>
          </cell>
          <cell r="AA24">
            <v>44</v>
          </cell>
          <cell r="AB24">
            <v>-12905</v>
          </cell>
          <cell r="BE24">
            <v>16</v>
          </cell>
          <cell r="BF24">
            <v>35390.350280199993</v>
          </cell>
          <cell r="CF24">
            <v>14</v>
          </cell>
          <cell r="CG24" t="str">
            <v>Y</v>
          </cell>
        </row>
        <row r="25">
          <cell r="C25">
            <v>16</v>
          </cell>
          <cell r="D25">
            <v>2236448.91</v>
          </cell>
          <cell r="F25">
            <v>53</v>
          </cell>
          <cell r="G25">
            <v>0</v>
          </cell>
          <cell r="I25">
            <v>16</v>
          </cell>
          <cell r="J25">
            <v>-623130.59</v>
          </cell>
          <cell r="L25">
            <v>51</v>
          </cell>
          <cell r="M25">
            <v>136624</v>
          </cell>
          <cell r="R25">
            <v>18</v>
          </cell>
          <cell r="S25">
            <v>-321287.40999999997</v>
          </cell>
          <cell r="U25">
            <v>20</v>
          </cell>
          <cell r="V25">
            <v>2395</v>
          </cell>
          <cell r="X25">
            <v>15</v>
          </cell>
          <cell r="Y25">
            <v>-34102</v>
          </cell>
          <cell r="AA25">
            <v>47</v>
          </cell>
          <cell r="AB25">
            <v>-36412.5</v>
          </cell>
          <cell r="BE25">
            <v>17</v>
          </cell>
          <cell r="BF25">
            <v>16165.407129700001</v>
          </cell>
          <cell r="CF25">
            <v>15</v>
          </cell>
          <cell r="CG25" t="str">
            <v>Y</v>
          </cell>
        </row>
        <row r="26">
          <cell r="C26">
            <v>17</v>
          </cell>
          <cell r="D26">
            <v>950144.29</v>
          </cell>
          <cell r="F26">
            <v>55</v>
          </cell>
          <cell r="G26">
            <v>416572.64</v>
          </cell>
          <cell r="I26">
            <v>17</v>
          </cell>
          <cell r="J26">
            <v>-340533.38</v>
          </cell>
          <cell r="L26">
            <v>52</v>
          </cell>
          <cell r="M26">
            <v>-561576</v>
          </cell>
          <cell r="R26">
            <v>20</v>
          </cell>
          <cell r="S26">
            <v>-20875.810000000001</v>
          </cell>
          <cell r="U26">
            <v>24</v>
          </cell>
          <cell r="V26">
            <v>13373.75</v>
          </cell>
          <cell r="X26">
            <v>16</v>
          </cell>
          <cell r="Y26">
            <v>-81770</v>
          </cell>
          <cell r="AA26">
            <v>53</v>
          </cell>
          <cell r="AB26">
            <v>-6238.44</v>
          </cell>
          <cell r="BE26">
            <v>18</v>
          </cell>
          <cell r="BF26">
            <v>5298.7770282999991</v>
          </cell>
          <cell r="CF26">
            <v>16</v>
          </cell>
          <cell r="CG26" t="str">
            <v>Y</v>
          </cell>
        </row>
        <row r="27">
          <cell r="C27">
            <v>18</v>
          </cell>
          <cell r="D27">
            <v>874161.07</v>
          </cell>
          <cell r="F27">
            <v>57</v>
          </cell>
          <cell r="G27">
            <v>57827.01</v>
          </cell>
          <cell r="I27">
            <v>18</v>
          </cell>
          <cell r="J27">
            <v>-332223.99</v>
          </cell>
          <cell r="L27">
            <v>53</v>
          </cell>
          <cell r="M27">
            <v>-2798273.96</v>
          </cell>
          <cell r="R27">
            <v>23</v>
          </cell>
          <cell r="S27">
            <v>-20239.14</v>
          </cell>
          <cell r="U27">
            <v>26</v>
          </cell>
          <cell r="V27">
            <v>0</v>
          </cell>
          <cell r="X27">
            <v>17</v>
          </cell>
          <cell r="Y27">
            <v>-30767</v>
          </cell>
          <cell r="AA27">
            <v>57</v>
          </cell>
          <cell r="AB27">
            <v>-47465.43</v>
          </cell>
          <cell r="BE27">
            <v>20</v>
          </cell>
          <cell r="BF27">
            <v>6115.2491770000015</v>
          </cell>
          <cell r="CF27">
            <v>17</v>
          </cell>
          <cell r="CG27" t="str">
            <v>Y</v>
          </cell>
        </row>
        <row r="28">
          <cell r="C28">
            <v>20</v>
          </cell>
          <cell r="D28">
            <v>610755</v>
          </cell>
          <cell r="F28">
            <v>58</v>
          </cell>
          <cell r="G28">
            <v>0</v>
          </cell>
          <cell r="I28">
            <v>20</v>
          </cell>
          <cell r="J28">
            <v>-172583.83</v>
          </cell>
          <cell r="L28">
            <v>55</v>
          </cell>
          <cell r="M28">
            <v>-1601495.92</v>
          </cell>
          <cell r="R28">
            <v>24</v>
          </cell>
          <cell r="S28">
            <v>-474134.68</v>
          </cell>
          <cell r="U28">
            <v>27</v>
          </cell>
          <cell r="V28">
            <v>33094.400000000001</v>
          </cell>
          <cell r="X28">
            <v>18</v>
          </cell>
          <cell r="Y28">
            <v>-35731</v>
          </cell>
          <cell r="AA28">
            <v>60</v>
          </cell>
          <cell r="AB28">
            <v>-1615</v>
          </cell>
          <cell r="BE28">
            <v>21</v>
          </cell>
          <cell r="BF28">
            <v>4122.2344814999997</v>
          </cell>
          <cell r="CF28">
            <v>18</v>
          </cell>
          <cell r="CG28" t="str">
            <v>N</v>
          </cell>
        </row>
        <row r="29">
          <cell r="C29">
            <v>21</v>
          </cell>
          <cell r="D29">
            <v>235094.33</v>
          </cell>
          <cell r="F29">
            <v>60</v>
          </cell>
          <cell r="G29">
            <v>0</v>
          </cell>
          <cell r="I29">
            <v>21</v>
          </cell>
          <cell r="J29">
            <v>-115696.76</v>
          </cell>
          <cell r="L29">
            <v>56</v>
          </cell>
          <cell r="M29">
            <v>-232530.46</v>
          </cell>
          <cell r="R29">
            <v>25</v>
          </cell>
          <cell r="S29">
            <v>-19067.2</v>
          </cell>
          <cell r="U29">
            <v>28</v>
          </cell>
          <cell r="V29">
            <v>2629.25</v>
          </cell>
          <cell r="X29">
            <v>20</v>
          </cell>
          <cell r="Y29">
            <v>-47458</v>
          </cell>
          <cell r="AA29">
            <v>62</v>
          </cell>
          <cell r="AB29">
            <v>-1524</v>
          </cell>
          <cell r="BE29">
            <v>22</v>
          </cell>
          <cell r="BF29">
            <v>1350.7821603999998</v>
          </cell>
          <cell r="CF29">
            <v>20</v>
          </cell>
          <cell r="CG29" t="str">
            <v>Y</v>
          </cell>
        </row>
        <row r="30">
          <cell r="C30">
            <v>22</v>
          </cell>
          <cell r="D30">
            <v>132153.78</v>
          </cell>
          <cell r="F30">
            <v>61</v>
          </cell>
          <cell r="G30">
            <v>125246</v>
          </cell>
          <cell r="I30">
            <v>22</v>
          </cell>
          <cell r="J30">
            <v>-6767.08</v>
          </cell>
          <cell r="L30">
            <v>61</v>
          </cell>
          <cell r="M30">
            <v>280033.48</v>
          </cell>
          <cell r="R30">
            <v>26</v>
          </cell>
          <cell r="S30">
            <v>-56246.13</v>
          </cell>
          <cell r="U30">
            <v>29</v>
          </cell>
          <cell r="V30">
            <v>1698</v>
          </cell>
          <cell r="X30">
            <v>21</v>
          </cell>
          <cell r="Y30">
            <v>-18874</v>
          </cell>
          <cell r="AA30">
            <v>64</v>
          </cell>
          <cell r="AB30">
            <v>-47743</v>
          </cell>
          <cell r="BE30">
            <v>23</v>
          </cell>
          <cell r="BF30">
            <v>4081.6110252000008</v>
          </cell>
          <cell r="CF30">
            <v>21</v>
          </cell>
          <cell r="CG30" t="str">
            <v>Y</v>
          </cell>
        </row>
        <row r="31">
          <cell r="C31">
            <v>23</v>
          </cell>
          <cell r="D31">
            <v>203461.71</v>
          </cell>
          <cell r="F31">
            <v>62</v>
          </cell>
          <cell r="G31">
            <v>14527.79</v>
          </cell>
          <cell r="I31">
            <v>23</v>
          </cell>
          <cell r="J31">
            <v>-36069.78</v>
          </cell>
          <cell r="L31">
            <v>70</v>
          </cell>
          <cell r="M31">
            <v>-464265.59</v>
          </cell>
          <cell r="R31">
            <v>27</v>
          </cell>
          <cell r="S31">
            <v>-1842389.92</v>
          </cell>
          <cell r="U31">
            <v>31</v>
          </cell>
          <cell r="V31">
            <v>11394.74</v>
          </cell>
          <cell r="X31">
            <v>22</v>
          </cell>
          <cell r="Y31">
            <v>-17440</v>
          </cell>
          <cell r="AA31">
            <v>65</v>
          </cell>
          <cell r="AB31">
            <v>-35468</v>
          </cell>
          <cell r="BE31">
            <v>24</v>
          </cell>
          <cell r="BF31">
            <v>44815.010341200003</v>
          </cell>
          <cell r="CF31">
            <v>22</v>
          </cell>
          <cell r="CG31" t="str">
            <v>Y</v>
          </cell>
        </row>
        <row r="32">
          <cell r="C32">
            <v>24</v>
          </cell>
          <cell r="D32">
            <v>3596536.84</v>
          </cell>
          <cell r="F32">
            <v>64</v>
          </cell>
          <cell r="G32">
            <v>724.25</v>
          </cell>
          <cell r="I32">
            <v>24</v>
          </cell>
          <cell r="J32">
            <v>-1005501.67</v>
          </cell>
          <cell r="L32">
            <v>71</v>
          </cell>
          <cell r="M32">
            <v>1220293.1100000001</v>
          </cell>
          <cell r="R32">
            <v>28</v>
          </cell>
          <cell r="S32">
            <v>-209858.6</v>
          </cell>
          <cell r="U32">
            <v>34</v>
          </cell>
          <cell r="V32">
            <v>93182.19</v>
          </cell>
          <cell r="X32">
            <v>23</v>
          </cell>
          <cell r="Y32">
            <v>-18872</v>
          </cell>
          <cell r="AA32">
            <v>66</v>
          </cell>
          <cell r="AB32">
            <v>-50955</v>
          </cell>
          <cell r="BE32">
            <v>25</v>
          </cell>
          <cell r="BF32">
            <v>5164.661117900001</v>
          </cell>
          <cell r="CF32">
            <v>23</v>
          </cell>
          <cell r="CG32" t="str">
            <v>Y</v>
          </cell>
        </row>
        <row r="33">
          <cell r="C33">
            <v>25</v>
          </cell>
          <cell r="D33">
            <v>775698.38</v>
          </cell>
          <cell r="F33">
            <v>65</v>
          </cell>
          <cell r="G33">
            <v>177543.03</v>
          </cell>
          <cell r="I33">
            <v>25</v>
          </cell>
          <cell r="J33">
            <v>-144440.88</v>
          </cell>
          <cell r="L33">
            <v>73</v>
          </cell>
          <cell r="M33">
            <v>336502.6</v>
          </cell>
          <cell r="R33">
            <v>29</v>
          </cell>
          <cell r="S33">
            <v>-623717.93000000005</v>
          </cell>
          <cell r="U33">
            <v>35</v>
          </cell>
          <cell r="V33">
            <v>76688.53</v>
          </cell>
          <cell r="X33">
            <v>24</v>
          </cell>
          <cell r="Y33">
            <v>-350673</v>
          </cell>
          <cell r="AA33">
            <v>67</v>
          </cell>
          <cell r="AB33">
            <v>-128520</v>
          </cell>
          <cell r="BE33">
            <v>26</v>
          </cell>
          <cell r="BF33">
            <v>9044.5252213000022</v>
          </cell>
          <cell r="CF33">
            <v>24</v>
          </cell>
          <cell r="CG33" t="str">
            <v>Y</v>
          </cell>
        </row>
        <row r="34">
          <cell r="C34">
            <v>26</v>
          </cell>
          <cell r="D34">
            <v>943325.53</v>
          </cell>
          <cell r="F34">
            <v>66</v>
          </cell>
          <cell r="G34">
            <v>147.51</v>
          </cell>
          <cell r="I34">
            <v>26</v>
          </cell>
          <cell r="J34">
            <v>-338936.06</v>
          </cell>
          <cell r="L34">
            <v>79</v>
          </cell>
          <cell r="M34">
            <v>284832.56</v>
          </cell>
          <cell r="R34">
            <v>30</v>
          </cell>
          <cell r="S34">
            <v>-109548.74</v>
          </cell>
          <cell r="U34">
            <v>36</v>
          </cell>
          <cell r="V34">
            <v>32834.71</v>
          </cell>
          <cell r="X34">
            <v>25</v>
          </cell>
          <cell r="Y34">
            <v>-38948</v>
          </cell>
          <cell r="AA34">
            <v>68</v>
          </cell>
          <cell r="AB34">
            <v>-30362</v>
          </cell>
          <cell r="BE34">
            <v>27</v>
          </cell>
          <cell r="BF34">
            <v>10698.011668800002</v>
          </cell>
          <cell r="CF34">
            <v>25</v>
          </cell>
          <cell r="CG34" t="str">
            <v>N</v>
          </cell>
        </row>
        <row r="35">
          <cell r="C35">
            <v>27</v>
          </cell>
          <cell r="D35">
            <v>3840653.03</v>
          </cell>
          <cell r="F35">
            <v>67</v>
          </cell>
          <cell r="G35">
            <v>284356.51</v>
          </cell>
          <cell r="I35">
            <v>27</v>
          </cell>
          <cell r="J35">
            <v>-318539.34999999998</v>
          </cell>
          <cell r="L35">
            <v>80</v>
          </cell>
          <cell r="M35">
            <v>-1541397.86</v>
          </cell>
          <cell r="R35">
            <v>34</v>
          </cell>
          <cell r="S35">
            <v>-1756065.79</v>
          </cell>
          <cell r="U35">
            <v>38</v>
          </cell>
          <cell r="V35">
            <v>66039.210000000006</v>
          </cell>
          <cell r="X35">
            <v>26</v>
          </cell>
          <cell r="Y35">
            <v>-144207</v>
          </cell>
          <cell r="AA35">
            <v>69</v>
          </cell>
          <cell r="AB35">
            <v>-31800</v>
          </cell>
          <cell r="BE35">
            <v>28</v>
          </cell>
          <cell r="BF35">
            <v>2454.4645709000006</v>
          </cell>
          <cell r="CF35">
            <v>26</v>
          </cell>
          <cell r="CG35" t="str">
            <v>Y</v>
          </cell>
        </row>
        <row r="36">
          <cell r="C36">
            <v>28</v>
          </cell>
          <cell r="D36">
            <v>439548.09</v>
          </cell>
          <cell r="F36">
            <v>68</v>
          </cell>
          <cell r="G36">
            <v>16881.75</v>
          </cell>
          <cell r="I36">
            <v>28</v>
          </cell>
          <cell r="J36">
            <v>-141469.26</v>
          </cell>
          <cell r="L36">
            <v>83</v>
          </cell>
          <cell r="M36">
            <v>-235041.22</v>
          </cell>
          <cell r="R36">
            <v>35</v>
          </cell>
          <cell r="S36">
            <v>-2337923.81</v>
          </cell>
          <cell r="U36">
            <v>40</v>
          </cell>
          <cell r="V36">
            <v>0</v>
          </cell>
          <cell r="X36">
            <v>27</v>
          </cell>
          <cell r="Y36">
            <v>-113675</v>
          </cell>
          <cell r="AA36">
            <v>70</v>
          </cell>
          <cell r="AB36">
            <v>-215027.33</v>
          </cell>
          <cell r="BE36">
            <v>29</v>
          </cell>
          <cell r="BF36">
            <v>8762.436387400001</v>
          </cell>
          <cell r="CF36">
            <v>27</v>
          </cell>
          <cell r="CG36" t="str">
            <v>Y</v>
          </cell>
        </row>
        <row r="37">
          <cell r="C37">
            <v>29</v>
          </cell>
          <cell r="D37">
            <v>1097276.03</v>
          </cell>
          <cell r="F37">
            <v>69</v>
          </cell>
          <cell r="G37">
            <v>18135.75</v>
          </cell>
          <cell r="I37">
            <v>29</v>
          </cell>
          <cell r="J37">
            <v>-264593.96999999997</v>
          </cell>
          <cell r="L37">
            <v>86</v>
          </cell>
          <cell r="M37">
            <v>341225.02</v>
          </cell>
          <cell r="R37">
            <v>36</v>
          </cell>
          <cell r="S37">
            <v>-6463721.5499999998</v>
          </cell>
          <cell r="U37">
            <v>41</v>
          </cell>
          <cell r="V37">
            <v>5027.5</v>
          </cell>
          <cell r="X37">
            <v>28</v>
          </cell>
          <cell r="Y37">
            <v>-16878</v>
          </cell>
          <cell r="AA37">
            <v>71</v>
          </cell>
          <cell r="AB37">
            <v>-120856.94</v>
          </cell>
          <cell r="BE37">
            <v>30</v>
          </cell>
          <cell r="BF37">
            <v>7574.9101197999998</v>
          </cell>
          <cell r="CF37">
            <v>28</v>
          </cell>
          <cell r="CG37" t="str">
            <v>Y</v>
          </cell>
        </row>
        <row r="38">
          <cell r="C38">
            <v>30</v>
          </cell>
          <cell r="D38">
            <v>584834.87</v>
          </cell>
          <cell r="F38">
            <v>70</v>
          </cell>
          <cell r="G38">
            <v>502973.87</v>
          </cell>
          <cell r="I38">
            <v>30</v>
          </cell>
          <cell r="J38">
            <v>-239932.23</v>
          </cell>
          <cell r="L38">
            <v>87</v>
          </cell>
          <cell r="M38">
            <v>-3777502.16</v>
          </cell>
          <cell r="R38">
            <v>38</v>
          </cell>
          <cell r="S38">
            <v>-3040932.78</v>
          </cell>
          <cell r="U38">
            <v>42</v>
          </cell>
          <cell r="V38">
            <v>12829.22</v>
          </cell>
          <cell r="X38">
            <v>29</v>
          </cell>
          <cell r="Y38">
            <v>-21250</v>
          </cell>
          <cell r="AA38">
            <v>72</v>
          </cell>
          <cell r="AB38">
            <v>-13800</v>
          </cell>
          <cell r="BE38">
            <v>32</v>
          </cell>
          <cell r="BF38">
            <v>160.50348879999993</v>
          </cell>
          <cell r="CF38">
            <v>29</v>
          </cell>
          <cell r="CG38" t="str">
            <v>Y</v>
          </cell>
        </row>
        <row r="39">
          <cell r="C39">
            <v>31</v>
          </cell>
          <cell r="D39">
            <v>424701.88</v>
          </cell>
          <cell r="F39">
            <v>71</v>
          </cell>
          <cell r="G39">
            <v>481354.69</v>
          </cell>
          <cell r="I39">
            <v>31</v>
          </cell>
          <cell r="J39">
            <v>-286864.78000000003</v>
          </cell>
          <cell r="L39">
            <v>90</v>
          </cell>
          <cell r="M39">
            <v>433739.42</v>
          </cell>
          <cell r="R39">
            <v>40</v>
          </cell>
          <cell r="S39">
            <v>-2667782.39</v>
          </cell>
          <cell r="U39">
            <v>43</v>
          </cell>
          <cell r="V39">
            <v>2655.75</v>
          </cell>
          <cell r="X39">
            <v>30</v>
          </cell>
          <cell r="Y39">
            <v>-28960</v>
          </cell>
          <cell r="AA39">
            <v>73</v>
          </cell>
          <cell r="AB39">
            <v>-36730.550000000003</v>
          </cell>
          <cell r="BE39">
            <v>33</v>
          </cell>
          <cell r="BF39">
            <v>895.31728299999975</v>
          </cell>
          <cell r="CF39">
            <v>30</v>
          </cell>
          <cell r="CG39" t="str">
            <v>Y</v>
          </cell>
        </row>
        <row r="40">
          <cell r="C40">
            <v>34</v>
          </cell>
          <cell r="D40">
            <v>4312300.16</v>
          </cell>
          <cell r="F40">
            <v>72</v>
          </cell>
          <cell r="G40">
            <v>0</v>
          </cell>
          <cell r="I40">
            <v>34</v>
          </cell>
          <cell r="J40">
            <v>-524274.72</v>
          </cell>
          <cell r="L40">
            <v>103</v>
          </cell>
          <cell r="M40">
            <v>441303.48</v>
          </cell>
          <cell r="R40">
            <v>41</v>
          </cell>
          <cell r="S40">
            <v>-384013.4</v>
          </cell>
          <cell r="U40">
            <v>44</v>
          </cell>
          <cell r="V40">
            <v>0</v>
          </cell>
          <cell r="X40">
            <v>31</v>
          </cell>
          <cell r="Y40">
            <v>-10408</v>
          </cell>
          <cell r="AA40">
            <v>74</v>
          </cell>
          <cell r="AB40">
            <v>-1200</v>
          </cell>
          <cell r="BE40">
            <v>34</v>
          </cell>
          <cell r="BF40">
            <v>22107.898132900002</v>
          </cell>
          <cell r="CF40">
            <v>31</v>
          </cell>
          <cell r="CG40" t="str">
            <v>Y</v>
          </cell>
        </row>
        <row r="41">
          <cell r="C41">
            <v>35</v>
          </cell>
          <cell r="D41">
            <v>7592242.75</v>
          </cell>
          <cell r="F41">
            <v>73</v>
          </cell>
          <cell r="G41">
            <v>166544.25</v>
          </cell>
          <cell r="I41">
            <v>35</v>
          </cell>
          <cell r="J41">
            <v>-723303.78</v>
          </cell>
          <cell r="L41">
            <v>105</v>
          </cell>
          <cell r="M41">
            <v>958924.18</v>
          </cell>
          <cell r="R41">
            <v>42</v>
          </cell>
          <cell r="S41">
            <v>-328081.02</v>
          </cell>
          <cell r="U41">
            <v>47</v>
          </cell>
          <cell r="V41">
            <v>8730.5</v>
          </cell>
          <cell r="X41">
            <v>34</v>
          </cell>
          <cell r="Y41">
            <v>-269988</v>
          </cell>
          <cell r="AA41">
            <v>75</v>
          </cell>
          <cell r="AB41">
            <v>-35168</v>
          </cell>
          <cell r="BE41">
            <v>35</v>
          </cell>
          <cell r="BF41">
            <v>30831.339511800004</v>
          </cell>
          <cell r="CF41">
            <v>32</v>
          </cell>
          <cell r="CG41" t="str">
            <v>Y</v>
          </cell>
        </row>
        <row r="42">
          <cell r="C42">
            <v>36</v>
          </cell>
          <cell r="D42">
            <v>14628820.08</v>
          </cell>
          <cell r="F42">
            <v>74</v>
          </cell>
          <cell r="G42">
            <v>31.25</v>
          </cell>
          <cell r="I42">
            <v>36</v>
          </cell>
          <cell r="J42">
            <v>-2067870.39</v>
          </cell>
          <cell r="L42">
            <v>106</v>
          </cell>
          <cell r="M42">
            <v>-263680.64000000001</v>
          </cell>
          <cell r="R42">
            <v>43</v>
          </cell>
          <cell r="S42">
            <v>-597213.81000000006</v>
          </cell>
          <cell r="U42">
            <v>50</v>
          </cell>
          <cell r="V42">
            <v>20901.91</v>
          </cell>
          <cell r="X42">
            <v>35</v>
          </cell>
          <cell r="Y42">
            <v>-521846</v>
          </cell>
          <cell r="AA42">
            <v>77</v>
          </cell>
          <cell r="AB42">
            <v>0</v>
          </cell>
          <cell r="BE42">
            <v>36</v>
          </cell>
          <cell r="BF42">
            <v>50643.837685499981</v>
          </cell>
          <cell r="CF42">
            <v>33</v>
          </cell>
          <cell r="CG42" t="str">
            <v>Y</v>
          </cell>
        </row>
        <row r="43">
          <cell r="C43">
            <v>38</v>
          </cell>
          <cell r="D43">
            <v>22374298.640000001</v>
          </cell>
          <cell r="F43">
            <v>75</v>
          </cell>
          <cell r="G43">
            <v>266142.37</v>
          </cell>
          <cell r="I43">
            <v>38</v>
          </cell>
          <cell r="J43">
            <v>-4805178.1399999997</v>
          </cell>
          <cell r="L43">
            <v>107</v>
          </cell>
          <cell r="M43">
            <v>476560.11</v>
          </cell>
          <cell r="R43">
            <v>44</v>
          </cell>
          <cell r="S43">
            <v>-1217893.01</v>
          </cell>
          <cell r="U43">
            <v>51</v>
          </cell>
          <cell r="V43">
            <v>24597.439999999999</v>
          </cell>
          <cell r="X43">
            <v>36</v>
          </cell>
          <cell r="Y43">
            <v>-869454</v>
          </cell>
          <cell r="AA43">
            <v>79</v>
          </cell>
          <cell r="AB43">
            <v>-59355</v>
          </cell>
          <cell r="BE43">
            <v>38</v>
          </cell>
          <cell r="BF43">
            <v>41384.864358200015</v>
          </cell>
          <cell r="CF43">
            <v>34</v>
          </cell>
          <cell r="CG43" t="str">
            <v>N</v>
          </cell>
        </row>
        <row r="44">
          <cell r="C44">
            <v>40</v>
          </cell>
          <cell r="D44">
            <v>6854342.9100000001</v>
          </cell>
          <cell r="F44">
            <v>79</v>
          </cell>
          <cell r="G44">
            <v>312.5</v>
          </cell>
          <cell r="I44">
            <v>40</v>
          </cell>
          <cell r="J44">
            <v>-1182417.1299999999</v>
          </cell>
          <cell r="L44">
            <v>108</v>
          </cell>
          <cell r="M44">
            <v>465759</v>
          </cell>
          <cell r="R44">
            <v>47</v>
          </cell>
          <cell r="S44">
            <v>-16854127.93</v>
          </cell>
          <cell r="U44">
            <v>52</v>
          </cell>
          <cell r="V44">
            <v>1055.5</v>
          </cell>
          <cell r="X44">
            <v>38</v>
          </cell>
          <cell r="Y44">
            <v>-818893</v>
          </cell>
          <cell r="AA44">
            <v>80</v>
          </cell>
          <cell r="AB44">
            <v>-451397.88</v>
          </cell>
          <cell r="BE44">
            <v>40</v>
          </cell>
          <cell r="BF44">
            <v>10270.235442000001</v>
          </cell>
          <cell r="CF44">
            <v>35</v>
          </cell>
          <cell r="CG44" t="str">
            <v>Y</v>
          </cell>
        </row>
        <row r="45">
          <cell r="C45">
            <v>41</v>
          </cell>
          <cell r="D45">
            <v>1308825.4099999999</v>
          </cell>
          <cell r="F45">
            <v>80</v>
          </cell>
          <cell r="G45">
            <v>1076879.6599999999</v>
          </cell>
          <cell r="I45">
            <v>41</v>
          </cell>
          <cell r="J45">
            <v>-225019.62</v>
          </cell>
          <cell r="L45">
            <v>120</v>
          </cell>
          <cell r="M45">
            <v>883155.33</v>
          </cell>
          <cell r="R45">
            <v>50</v>
          </cell>
          <cell r="S45">
            <v>-70077.86</v>
          </cell>
          <cell r="U45">
            <v>53</v>
          </cell>
          <cell r="V45">
            <v>53197.79</v>
          </cell>
          <cell r="X45">
            <v>40</v>
          </cell>
          <cell r="Y45">
            <v>-502348</v>
          </cell>
          <cell r="AA45">
            <v>81</v>
          </cell>
          <cell r="AB45">
            <v>-600</v>
          </cell>
          <cell r="BE45">
            <v>41</v>
          </cell>
          <cell r="BF45">
            <v>1371.1207386999999</v>
          </cell>
          <cell r="CF45">
            <v>36</v>
          </cell>
          <cell r="CG45" t="str">
            <v>Y</v>
          </cell>
        </row>
        <row r="46">
          <cell r="C46">
            <v>42</v>
          </cell>
          <cell r="D46">
            <v>1557599.9</v>
          </cell>
          <cell r="F46">
            <v>83</v>
          </cell>
          <cell r="G46">
            <v>236570.77</v>
          </cell>
          <cell r="I46">
            <v>42</v>
          </cell>
          <cell r="J46">
            <v>-405081.52</v>
          </cell>
          <cell r="L46">
            <v>121</v>
          </cell>
          <cell r="M46">
            <v>4106.7</v>
          </cell>
          <cell r="R46">
            <v>51</v>
          </cell>
          <cell r="S46">
            <v>-218902.12</v>
          </cell>
          <cell r="U46">
            <v>55</v>
          </cell>
          <cell r="V46">
            <v>0</v>
          </cell>
          <cell r="X46">
            <v>41</v>
          </cell>
          <cell r="Y46">
            <v>-104020</v>
          </cell>
          <cell r="AA46">
            <v>83</v>
          </cell>
          <cell r="AB46">
            <v>-42845</v>
          </cell>
          <cell r="BE46">
            <v>42</v>
          </cell>
          <cell r="BF46">
            <v>5406.1091174999983</v>
          </cell>
          <cell r="CF46">
            <v>38</v>
          </cell>
          <cell r="CG46" t="str">
            <v>Y</v>
          </cell>
        </row>
        <row r="47">
          <cell r="C47">
            <v>43</v>
          </cell>
          <cell r="D47">
            <v>2207031.3199999998</v>
          </cell>
          <cell r="F47">
            <v>86</v>
          </cell>
          <cell r="G47">
            <v>282956.40000000002</v>
          </cell>
          <cell r="I47">
            <v>43</v>
          </cell>
          <cell r="J47">
            <v>-869173.47</v>
          </cell>
          <cell r="L47">
            <v>123</v>
          </cell>
          <cell r="M47">
            <v>45333.52</v>
          </cell>
          <cell r="R47">
            <v>52</v>
          </cell>
          <cell r="S47">
            <v>-1658405.65</v>
          </cell>
          <cell r="U47">
            <v>56</v>
          </cell>
          <cell r="V47">
            <v>12769.75</v>
          </cell>
          <cell r="X47">
            <v>42</v>
          </cell>
          <cell r="Y47">
            <v>-78231</v>
          </cell>
          <cell r="AA47">
            <v>86</v>
          </cell>
          <cell r="AB47">
            <v>-5725</v>
          </cell>
          <cell r="BE47">
            <v>43</v>
          </cell>
          <cell r="BF47">
            <v>8572.7909542999987</v>
          </cell>
          <cell r="CF47">
            <v>40</v>
          </cell>
          <cell r="CG47" t="str">
            <v>Y</v>
          </cell>
        </row>
        <row r="48">
          <cell r="C48">
            <v>44</v>
          </cell>
          <cell r="D48">
            <v>4326803.03</v>
          </cell>
          <cell r="F48">
            <v>87</v>
          </cell>
          <cell r="G48">
            <v>120592.92</v>
          </cell>
          <cell r="I48">
            <v>44</v>
          </cell>
          <cell r="J48">
            <v>-1447080.49</v>
          </cell>
          <cell r="L48">
            <v>133</v>
          </cell>
          <cell r="M48">
            <v>-1300309.8600000001</v>
          </cell>
          <cell r="R48">
            <v>55</v>
          </cell>
          <cell r="S48">
            <v>-13016904.640000001</v>
          </cell>
          <cell r="U48">
            <v>57</v>
          </cell>
          <cell r="V48">
            <v>253545.27</v>
          </cell>
          <cell r="X48">
            <v>43</v>
          </cell>
          <cell r="Y48">
            <v>-179342</v>
          </cell>
          <cell r="AA48">
            <v>87</v>
          </cell>
          <cell r="AB48">
            <v>-350</v>
          </cell>
          <cell r="BE48">
            <v>44</v>
          </cell>
          <cell r="BF48">
            <v>7985.5789596999994</v>
          </cell>
          <cell r="CF48">
            <v>41</v>
          </cell>
          <cell r="CG48" t="str">
            <v>Y</v>
          </cell>
        </row>
        <row r="49">
          <cell r="C49">
            <v>47</v>
          </cell>
          <cell r="D49">
            <v>23902484.170000002</v>
          </cell>
          <cell r="F49">
            <v>88</v>
          </cell>
          <cell r="G49">
            <v>255.25</v>
          </cell>
          <cell r="I49">
            <v>47</v>
          </cell>
          <cell r="J49">
            <v>-1720999.26</v>
          </cell>
          <cell r="L49">
            <v>140</v>
          </cell>
          <cell r="M49">
            <v>524032.2</v>
          </cell>
          <cell r="R49">
            <v>56</v>
          </cell>
          <cell r="S49">
            <v>-860113.12</v>
          </cell>
          <cell r="U49">
            <v>58</v>
          </cell>
          <cell r="V49">
            <v>6050.5</v>
          </cell>
          <cell r="X49">
            <v>44</v>
          </cell>
          <cell r="Y49">
            <v>-314366</v>
          </cell>
          <cell r="AA49">
            <v>89</v>
          </cell>
          <cell r="AB49">
            <v>-270975.21000000002</v>
          </cell>
          <cell r="BE49">
            <v>47</v>
          </cell>
          <cell r="BF49">
            <v>21997.196783200012</v>
          </cell>
          <cell r="CF49">
            <v>42</v>
          </cell>
          <cell r="CG49" t="str">
            <v>N</v>
          </cell>
        </row>
        <row r="50">
          <cell r="C50">
            <v>50</v>
          </cell>
          <cell r="D50">
            <v>1285259.99</v>
          </cell>
          <cell r="F50">
            <v>89</v>
          </cell>
          <cell r="G50">
            <v>3112341.05</v>
          </cell>
          <cell r="I50">
            <v>50</v>
          </cell>
          <cell r="J50">
            <v>-377677.53</v>
          </cell>
          <cell r="L50">
            <v>150</v>
          </cell>
          <cell r="M50">
            <v>162244.29999999999</v>
          </cell>
          <cell r="R50">
            <v>57</v>
          </cell>
          <cell r="S50">
            <v>-369385.7</v>
          </cell>
          <cell r="U50">
            <v>60</v>
          </cell>
          <cell r="V50">
            <v>173411.66</v>
          </cell>
          <cell r="X50">
            <v>47</v>
          </cell>
          <cell r="Y50">
            <v>-461936</v>
          </cell>
          <cell r="AA50">
            <v>90</v>
          </cell>
          <cell r="AB50">
            <v>-84690</v>
          </cell>
          <cell r="BE50">
            <v>50</v>
          </cell>
          <cell r="BF50">
            <v>5997.1502156999986</v>
          </cell>
          <cell r="CF50">
            <v>43</v>
          </cell>
          <cell r="CG50" t="str">
            <v>N</v>
          </cell>
        </row>
        <row r="51">
          <cell r="C51">
            <v>51</v>
          </cell>
          <cell r="D51">
            <v>995497.86</v>
          </cell>
          <cell r="F51">
            <v>90</v>
          </cell>
          <cell r="G51">
            <v>122476.85</v>
          </cell>
          <cell r="I51">
            <v>51</v>
          </cell>
          <cell r="J51">
            <v>-401003.12</v>
          </cell>
          <cell r="L51">
            <v>151</v>
          </cell>
          <cell r="M51">
            <v>1209503.26</v>
          </cell>
          <cell r="R51">
            <v>58</v>
          </cell>
          <cell r="S51">
            <v>-103730.28</v>
          </cell>
          <cell r="U51">
            <v>61</v>
          </cell>
          <cell r="V51">
            <v>74441.67</v>
          </cell>
          <cell r="X51">
            <v>50</v>
          </cell>
          <cell r="Y51">
            <v>-68215</v>
          </cell>
          <cell r="AA51">
            <v>91</v>
          </cell>
          <cell r="AB51">
            <v>-16325</v>
          </cell>
          <cell r="BE51">
            <v>51</v>
          </cell>
          <cell r="BF51">
            <v>3767.6126438999981</v>
          </cell>
          <cell r="CF51">
            <v>44</v>
          </cell>
          <cell r="CG51" t="str">
            <v>Y</v>
          </cell>
        </row>
        <row r="52">
          <cell r="C52">
            <v>52</v>
          </cell>
          <cell r="D52">
            <v>4672606</v>
          </cell>
          <cell r="F52">
            <v>91</v>
          </cell>
          <cell r="G52">
            <v>386.5</v>
          </cell>
          <cell r="I52">
            <v>52</v>
          </cell>
          <cell r="J52">
            <v>-1576284.55</v>
          </cell>
          <cell r="L52">
            <v>160</v>
          </cell>
          <cell r="M52">
            <v>-172043.12</v>
          </cell>
          <cell r="R52">
            <v>60</v>
          </cell>
          <cell r="S52">
            <v>-4703721.47</v>
          </cell>
          <cell r="U52">
            <v>62</v>
          </cell>
          <cell r="V52">
            <v>150</v>
          </cell>
          <cell r="X52">
            <v>51</v>
          </cell>
          <cell r="Y52">
            <v>-98179</v>
          </cell>
          <cell r="AA52">
            <v>92</v>
          </cell>
          <cell r="AB52">
            <v>-45</v>
          </cell>
          <cell r="BE52">
            <v>52</v>
          </cell>
          <cell r="BF52">
            <v>7379.2947365000009</v>
          </cell>
          <cell r="CF52">
            <v>47</v>
          </cell>
          <cell r="CG52" t="str">
            <v>Y</v>
          </cell>
        </row>
        <row r="53">
          <cell r="C53">
            <v>53</v>
          </cell>
          <cell r="D53">
            <v>8530989.9800000004</v>
          </cell>
          <cell r="F53">
            <v>93</v>
          </cell>
          <cell r="G53">
            <v>0</v>
          </cell>
          <cell r="I53">
            <v>53</v>
          </cell>
          <cell r="J53">
            <v>-2285484.8199999998</v>
          </cell>
          <cell r="L53">
            <v>165</v>
          </cell>
          <cell r="M53">
            <v>1017337.28</v>
          </cell>
          <cell r="R53">
            <v>61</v>
          </cell>
          <cell r="S53">
            <v>-638289.77</v>
          </cell>
          <cell r="U53">
            <v>64</v>
          </cell>
          <cell r="V53">
            <v>117707.89</v>
          </cell>
          <cell r="X53">
            <v>52</v>
          </cell>
          <cell r="Y53">
            <v>-113062</v>
          </cell>
          <cell r="AA53">
            <v>101</v>
          </cell>
          <cell r="AB53">
            <v>-125339.11</v>
          </cell>
          <cell r="BE53">
            <v>53</v>
          </cell>
          <cell r="BF53">
            <v>16655.742690500003</v>
          </cell>
          <cell r="CF53">
            <v>50</v>
          </cell>
          <cell r="CG53" t="str">
            <v>Y</v>
          </cell>
        </row>
        <row r="54">
          <cell r="C54">
            <v>55</v>
          </cell>
          <cell r="D54">
            <v>21289444.280000001</v>
          </cell>
          <cell r="F54">
            <v>101</v>
          </cell>
          <cell r="G54">
            <v>388441.11</v>
          </cell>
          <cell r="I54">
            <v>55</v>
          </cell>
          <cell r="J54">
            <v>-2861271.17</v>
          </cell>
          <cell r="R54">
            <v>62</v>
          </cell>
          <cell r="S54">
            <v>-96434.69</v>
          </cell>
          <cell r="U54">
            <v>65</v>
          </cell>
          <cell r="V54">
            <v>0</v>
          </cell>
          <cell r="X54">
            <v>53</v>
          </cell>
          <cell r="Y54">
            <v>-293613</v>
          </cell>
          <cell r="AA54">
            <v>103</v>
          </cell>
          <cell r="AB54">
            <v>-16500</v>
          </cell>
          <cell r="BE54">
            <v>55</v>
          </cell>
          <cell r="BF54">
            <v>41382.913161699995</v>
          </cell>
          <cell r="CF54">
            <v>51</v>
          </cell>
          <cell r="CG54" t="str">
            <v>N</v>
          </cell>
        </row>
        <row r="55">
          <cell r="C55">
            <v>56</v>
          </cell>
          <cell r="D55">
            <v>2115622.66</v>
          </cell>
          <cell r="F55">
            <v>103</v>
          </cell>
          <cell r="G55">
            <v>59409.5</v>
          </cell>
          <cell r="I55">
            <v>56</v>
          </cell>
          <cell r="J55">
            <v>-589573.04</v>
          </cell>
          <cell r="R55">
            <v>64</v>
          </cell>
          <cell r="S55">
            <v>-145201.68</v>
          </cell>
          <cell r="U55">
            <v>66</v>
          </cell>
          <cell r="V55">
            <v>29246.61</v>
          </cell>
          <cell r="X55">
            <v>55</v>
          </cell>
          <cell r="Y55">
            <v>185917</v>
          </cell>
          <cell r="AA55">
            <v>104</v>
          </cell>
          <cell r="AB55">
            <v>-11424</v>
          </cell>
          <cell r="BE55">
            <v>56</v>
          </cell>
          <cell r="BF55">
            <v>2453.5620121999991</v>
          </cell>
          <cell r="CF55">
            <v>52</v>
          </cell>
          <cell r="CG55" t="str">
            <v>Y</v>
          </cell>
        </row>
        <row r="56">
          <cell r="C56">
            <v>57</v>
          </cell>
          <cell r="D56">
            <v>2169497.9700000002</v>
          </cell>
          <cell r="F56">
            <v>104</v>
          </cell>
          <cell r="G56">
            <v>0</v>
          </cell>
          <cell r="I56">
            <v>57</v>
          </cell>
          <cell r="J56">
            <v>-747885.22</v>
          </cell>
          <cell r="R56">
            <v>65</v>
          </cell>
          <cell r="S56">
            <v>-78140.649999999994</v>
          </cell>
          <cell r="U56">
            <v>67</v>
          </cell>
          <cell r="V56">
            <v>176495.72</v>
          </cell>
          <cell r="X56">
            <v>56</v>
          </cell>
          <cell r="Y56">
            <v>-48066</v>
          </cell>
          <cell r="AA56">
            <v>105</v>
          </cell>
          <cell r="AB56">
            <v>-41255</v>
          </cell>
          <cell r="BE56">
            <v>57</v>
          </cell>
          <cell r="BF56">
            <v>6736.9271866999961</v>
          </cell>
          <cell r="CF56">
            <v>53</v>
          </cell>
          <cell r="CG56" t="str">
            <v>Y</v>
          </cell>
        </row>
        <row r="57">
          <cell r="C57">
            <v>58</v>
          </cell>
          <cell r="D57">
            <v>1393943.34</v>
          </cell>
          <cell r="F57">
            <v>105</v>
          </cell>
          <cell r="G57">
            <v>0</v>
          </cell>
          <cell r="I57">
            <v>58</v>
          </cell>
          <cell r="J57">
            <v>-136550.89000000001</v>
          </cell>
          <cell r="R57">
            <v>66</v>
          </cell>
          <cell r="S57">
            <v>-1816888.82</v>
          </cell>
          <cell r="U57">
            <v>68</v>
          </cell>
          <cell r="V57">
            <v>56508.37</v>
          </cell>
          <cell r="X57">
            <v>57</v>
          </cell>
          <cell r="Y57">
            <v>-250693</v>
          </cell>
          <cell r="AA57">
            <v>107</v>
          </cell>
          <cell r="AB57">
            <v>-10706</v>
          </cell>
          <cell r="BE57">
            <v>60</v>
          </cell>
          <cell r="BF57">
            <v>42501.437761800007</v>
          </cell>
          <cell r="CF57">
            <v>55</v>
          </cell>
          <cell r="CG57" t="str">
            <v>Y</v>
          </cell>
        </row>
        <row r="58">
          <cell r="C58">
            <v>60</v>
          </cell>
          <cell r="D58">
            <v>16476701.039999999</v>
          </cell>
          <cell r="F58">
            <v>106</v>
          </cell>
          <cell r="G58">
            <v>109930.87</v>
          </cell>
          <cell r="I58">
            <v>60</v>
          </cell>
          <cell r="J58">
            <v>-3634428.02</v>
          </cell>
          <cell r="R58">
            <v>67</v>
          </cell>
          <cell r="S58">
            <v>-9859876.0299999993</v>
          </cell>
          <cell r="U58">
            <v>69</v>
          </cell>
          <cell r="V58">
            <v>40434.93</v>
          </cell>
          <cell r="X58">
            <v>58</v>
          </cell>
          <cell r="Y58">
            <v>-85254</v>
          </cell>
          <cell r="AA58">
            <v>109</v>
          </cell>
          <cell r="AB58">
            <v>-8534</v>
          </cell>
          <cell r="BE58">
            <v>61</v>
          </cell>
          <cell r="BF58">
            <v>5610.7077346999995</v>
          </cell>
          <cell r="CF58">
            <v>56</v>
          </cell>
          <cell r="CG58" t="str">
            <v>Y</v>
          </cell>
        </row>
        <row r="59">
          <cell r="C59">
            <v>61</v>
          </cell>
          <cell r="D59">
            <v>3298819.64</v>
          </cell>
          <cell r="F59">
            <v>107</v>
          </cell>
          <cell r="G59">
            <v>0</v>
          </cell>
          <cell r="I59">
            <v>61</v>
          </cell>
          <cell r="J59">
            <v>-1911967.45</v>
          </cell>
          <cell r="R59">
            <v>68</v>
          </cell>
          <cell r="S59">
            <v>-689127.77</v>
          </cell>
          <cell r="U59">
            <v>70</v>
          </cell>
          <cell r="V59">
            <v>353530.4</v>
          </cell>
          <cell r="X59">
            <v>60</v>
          </cell>
          <cell r="Y59">
            <v>-804889</v>
          </cell>
          <cell r="AA59">
            <v>120</v>
          </cell>
          <cell r="AB59">
            <v>-4742.5</v>
          </cell>
          <cell r="BE59">
            <v>62</v>
          </cell>
          <cell r="BF59">
            <v>1807.3653587999995</v>
          </cell>
          <cell r="CF59">
            <v>57</v>
          </cell>
          <cell r="CG59" t="str">
            <v>Y</v>
          </cell>
        </row>
        <row r="60">
          <cell r="C60">
            <v>62</v>
          </cell>
          <cell r="D60">
            <v>907808.23</v>
          </cell>
          <cell r="F60">
            <v>108</v>
          </cell>
          <cell r="G60">
            <v>75.25</v>
          </cell>
          <cell r="I60">
            <v>62</v>
          </cell>
          <cell r="J60">
            <v>-440381.76</v>
          </cell>
          <cell r="R60">
            <v>69</v>
          </cell>
          <cell r="S60">
            <v>-3846987.72</v>
          </cell>
          <cell r="U60">
            <v>71</v>
          </cell>
          <cell r="V60">
            <v>236274.88</v>
          </cell>
          <cell r="X60">
            <v>61</v>
          </cell>
          <cell r="Y60">
            <v>-87493</v>
          </cell>
          <cell r="AA60">
            <v>121</v>
          </cell>
          <cell r="AB60">
            <v>-1425</v>
          </cell>
          <cell r="BE60">
            <v>64</v>
          </cell>
          <cell r="BF60">
            <v>6913.0273951000017</v>
          </cell>
          <cell r="CF60">
            <v>58</v>
          </cell>
          <cell r="CG60" t="str">
            <v>Y</v>
          </cell>
        </row>
        <row r="61">
          <cell r="C61">
            <v>64</v>
          </cell>
          <cell r="D61">
            <v>4333654.71</v>
          </cell>
          <cell r="F61">
            <v>109</v>
          </cell>
          <cell r="G61">
            <v>304709.61</v>
          </cell>
          <cell r="I61">
            <v>64</v>
          </cell>
          <cell r="J61">
            <v>-2025911.26</v>
          </cell>
          <cell r="R61">
            <v>70</v>
          </cell>
          <cell r="S61">
            <v>-15157623.33</v>
          </cell>
          <cell r="U61">
            <v>72</v>
          </cell>
          <cell r="V61">
            <v>31885.51</v>
          </cell>
          <cell r="X61">
            <v>62</v>
          </cell>
          <cell r="Y61">
            <v>-20502</v>
          </cell>
          <cell r="AA61">
            <v>122</v>
          </cell>
          <cell r="AB61">
            <v>-24100</v>
          </cell>
          <cell r="BE61">
            <v>65</v>
          </cell>
          <cell r="BF61">
            <v>13446.453393099997</v>
          </cell>
          <cell r="CF61">
            <v>60</v>
          </cell>
          <cell r="CG61" t="str">
            <v>Y</v>
          </cell>
        </row>
        <row r="62">
          <cell r="C62">
            <v>65</v>
          </cell>
          <cell r="D62">
            <v>1544826.35</v>
          </cell>
          <cell r="F62">
            <v>120</v>
          </cell>
          <cell r="G62">
            <v>1036269.01</v>
          </cell>
          <cell r="I62">
            <v>65</v>
          </cell>
          <cell r="J62">
            <v>-245734.2</v>
          </cell>
          <cell r="R62">
            <v>71</v>
          </cell>
          <cell r="S62">
            <v>-36562.44</v>
          </cell>
          <cell r="U62">
            <v>73</v>
          </cell>
          <cell r="V62">
            <v>65779.62</v>
          </cell>
          <cell r="X62">
            <v>64</v>
          </cell>
          <cell r="Y62">
            <v>-228794</v>
          </cell>
          <cell r="AA62">
            <v>123</v>
          </cell>
          <cell r="AB62">
            <v>-550</v>
          </cell>
          <cell r="BE62">
            <v>66</v>
          </cell>
          <cell r="BF62">
            <v>14386.646283100003</v>
          </cell>
          <cell r="CF62">
            <v>61</v>
          </cell>
          <cell r="CG62" t="str">
            <v>N</v>
          </cell>
        </row>
        <row r="63">
          <cell r="C63">
            <v>66</v>
          </cell>
          <cell r="D63">
            <v>6542895.0700000003</v>
          </cell>
          <cell r="F63">
            <v>122</v>
          </cell>
          <cell r="G63">
            <v>210.25</v>
          </cell>
          <cell r="I63">
            <v>66</v>
          </cell>
          <cell r="J63">
            <v>-2020524.76</v>
          </cell>
          <cell r="R63">
            <v>72</v>
          </cell>
          <cell r="S63">
            <v>-769694.03</v>
          </cell>
          <cell r="U63">
            <v>74</v>
          </cell>
          <cell r="V63">
            <v>1648</v>
          </cell>
          <cell r="X63">
            <v>65</v>
          </cell>
          <cell r="Y63">
            <v>-186146</v>
          </cell>
          <cell r="AA63">
            <v>133</v>
          </cell>
          <cell r="AB63">
            <v>-3950</v>
          </cell>
          <cell r="BE63">
            <v>67</v>
          </cell>
          <cell r="BF63">
            <v>53238.977536699997</v>
          </cell>
          <cell r="CF63">
            <v>62</v>
          </cell>
          <cell r="CG63" t="str">
            <v>Y</v>
          </cell>
        </row>
        <row r="64">
          <cell r="C64">
            <v>67</v>
          </cell>
          <cell r="D64">
            <v>22426270.309999999</v>
          </cell>
          <cell r="F64">
            <v>123</v>
          </cell>
          <cell r="G64">
            <v>22072</v>
          </cell>
          <cell r="I64">
            <v>67</v>
          </cell>
          <cell r="J64">
            <v>-6106309.0300000003</v>
          </cell>
          <cell r="R64">
            <v>73</v>
          </cell>
          <cell r="S64">
            <v>-1268311.53</v>
          </cell>
          <cell r="U64">
            <v>75</v>
          </cell>
          <cell r="V64">
            <v>33226.559999999998</v>
          </cell>
          <cell r="X64">
            <v>66</v>
          </cell>
          <cell r="Y64">
            <v>-342456</v>
          </cell>
          <cell r="AA64">
            <v>135</v>
          </cell>
          <cell r="AB64">
            <v>-298078.84000000003</v>
          </cell>
          <cell r="BE64">
            <v>68</v>
          </cell>
          <cell r="BF64">
            <v>13272.657975799995</v>
          </cell>
          <cell r="CF64">
            <v>64</v>
          </cell>
          <cell r="CG64" t="str">
            <v>Y</v>
          </cell>
        </row>
        <row r="65">
          <cell r="C65">
            <v>68</v>
          </cell>
          <cell r="D65">
            <v>3623818.45</v>
          </cell>
          <cell r="F65">
            <v>133</v>
          </cell>
          <cell r="G65">
            <v>21245.75</v>
          </cell>
          <cell r="I65">
            <v>68</v>
          </cell>
          <cell r="J65">
            <v>-1616352.38</v>
          </cell>
          <cell r="R65">
            <v>74</v>
          </cell>
          <cell r="S65">
            <v>-100281.8</v>
          </cell>
          <cell r="U65">
            <v>79</v>
          </cell>
          <cell r="V65">
            <v>0</v>
          </cell>
          <cell r="X65">
            <v>67</v>
          </cell>
          <cell r="Y65">
            <v>766</v>
          </cell>
          <cell r="AA65">
            <v>140</v>
          </cell>
          <cell r="AB65">
            <v>-30779.85</v>
          </cell>
          <cell r="BE65">
            <v>69</v>
          </cell>
          <cell r="BF65">
            <v>15384.653113999997</v>
          </cell>
          <cell r="CF65">
            <v>65</v>
          </cell>
          <cell r="CG65" t="str">
            <v>Y</v>
          </cell>
        </row>
        <row r="66">
          <cell r="C66">
            <v>69</v>
          </cell>
          <cell r="D66">
            <v>10712588.039999999</v>
          </cell>
          <cell r="F66">
            <v>135</v>
          </cell>
          <cell r="G66">
            <v>154335.32</v>
          </cell>
          <cell r="I66">
            <v>69</v>
          </cell>
          <cell r="J66">
            <v>-4686497.8499999996</v>
          </cell>
          <cell r="R66">
            <v>75</v>
          </cell>
          <cell r="S66">
            <v>-2596111.9700000002</v>
          </cell>
          <cell r="U66">
            <v>80</v>
          </cell>
          <cell r="V66">
            <v>922879.56</v>
          </cell>
          <cell r="X66">
            <v>68</v>
          </cell>
          <cell r="Y66">
            <v>-271575</v>
          </cell>
          <cell r="AA66">
            <v>151</v>
          </cell>
          <cell r="AB66">
            <v>-21074.25</v>
          </cell>
          <cell r="BE66">
            <v>70</v>
          </cell>
          <cell r="BF66">
            <v>101945.3959799</v>
          </cell>
          <cell r="CF66">
            <v>66</v>
          </cell>
          <cell r="CG66" t="str">
            <v>Y</v>
          </cell>
        </row>
        <row r="67">
          <cell r="C67">
            <v>70</v>
          </cell>
          <cell r="D67">
            <v>39970342.579999998</v>
          </cell>
          <cell r="F67">
            <v>140</v>
          </cell>
          <cell r="G67">
            <v>4721115.71</v>
          </cell>
          <cell r="I67">
            <v>70</v>
          </cell>
          <cell r="J67">
            <v>-5323401.34</v>
          </cell>
          <cell r="R67">
            <v>77</v>
          </cell>
          <cell r="S67">
            <v>0</v>
          </cell>
          <cell r="U67">
            <v>81</v>
          </cell>
          <cell r="V67">
            <v>11436</v>
          </cell>
          <cell r="X67">
            <v>69</v>
          </cell>
          <cell r="Y67">
            <v>229531</v>
          </cell>
          <cell r="AA67">
            <v>160</v>
          </cell>
          <cell r="AB67">
            <v>-118949.1</v>
          </cell>
          <cell r="BE67">
            <v>71</v>
          </cell>
          <cell r="BF67">
            <v>49876.842957700035</v>
          </cell>
          <cell r="CF67">
            <v>67</v>
          </cell>
          <cell r="CG67" t="str">
            <v>Y</v>
          </cell>
        </row>
        <row r="68">
          <cell r="C68">
            <v>71</v>
          </cell>
          <cell r="D68">
            <v>9609705.4900000002</v>
          </cell>
          <cell r="F68">
            <v>151</v>
          </cell>
          <cell r="G68">
            <v>0</v>
          </cell>
          <cell r="I68">
            <v>71</v>
          </cell>
          <cell r="J68">
            <v>-1583103.82</v>
          </cell>
          <cell r="R68">
            <v>79</v>
          </cell>
          <cell r="S68">
            <v>-6777533.75</v>
          </cell>
          <cell r="U68">
            <v>83</v>
          </cell>
          <cell r="V68">
            <v>72005.990000000005</v>
          </cell>
          <cell r="X68">
            <v>70</v>
          </cell>
          <cell r="Y68">
            <v>-1798289</v>
          </cell>
          <cell r="AA68">
            <v>165</v>
          </cell>
          <cell r="AB68">
            <v>-21500</v>
          </cell>
          <cell r="BE68">
            <v>72</v>
          </cell>
          <cell r="BF68">
            <v>11342.433411999995</v>
          </cell>
          <cell r="CF68">
            <v>68</v>
          </cell>
          <cell r="CG68" t="str">
            <v>Y</v>
          </cell>
        </row>
        <row r="69">
          <cell r="C69">
            <v>72</v>
          </cell>
          <cell r="D69">
            <v>4106210.3</v>
          </cell>
          <cell r="F69">
            <v>160</v>
          </cell>
          <cell r="G69">
            <v>217345.06</v>
          </cell>
          <cell r="I69">
            <v>72</v>
          </cell>
          <cell r="J69">
            <v>-1280756.05</v>
          </cell>
          <cell r="R69">
            <v>80</v>
          </cell>
          <cell r="S69">
            <v>-33046498.280000001</v>
          </cell>
          <cell r="U69">
            <v>85</v>
          </cell>
          <cell r="V69">
            <v>0</v>
          </cell>
          <cell r="X69">
            <v>71</v>
          </cell>
          <cell r="Y69">
            <v>-530116</v>
          </cell>
          <cell r="BE69">
            <v>73</v>
          </cell>
          <cell r="BF69">
            <v>14301.041122599996</v>
          </cell>
          <cell r="CF69">
            <v>69</v>
          </cell>
          <cell r="CG69" t="str">
            <v>Y</v>
          </cell>
        </row>
        <row r="70">
          <cell r="C70">
            <v>73</v>
          </cell>
          <cell r="D70">
            <v>6191525.9500000002</v>
          </cell>
          <cell r="F70">
            <v>165</v>
          </cell>
          <cell r="G70">
            <v>0</v>
          </cell>
          <cell r="I70">
            <v>73</v>
          </cell>
          <cell r="J70">
            <v>-2935368.34</v>
          </cell>
          <cell r="R70">
            <v>81</v>
          </cell>
          <cell r="S70">
            <v>-47497.59</v>
          </cell>
          <cell r="U70">
            <v>86</v>
          </cell>
          <cell r="V70">
            <v>3428.44</v>
          </cell>
          <cell r="X70">
            <v>72</v>
          </cell>
          <cell r="Y70">
            <v>-30698</v>
          </cell>
          <cell r="BE70">
            <v>74</v>
          </cell>
          <cell r="BF70">
            <v>1138.7309018999995</v>
          </cell>
          <cell r="CF70">
            <v>70</v>
          </cell>
          <cell r="CG70" t="str">
            <v>Y</v>
          </cell>
        </row>
        <row r="71">
          <cell r="C71">
            <v>74</v>
          </cell>
          <cell r="D71">
            <v>307832.58</v>
          </cell>
          <cell r="I71">
            <v>74</v>
          </cell>
          <cell r="J71">
            <v>-27787.43</v>
          </cell>
          <cell r="R71">
            <v>83</v>
          </cell>
          <cell r="S71">
            <v>-10265035.779999999</v>
          </cell>
          <cell r="U71">
            <v>87</v>
          </cell>
          <cell r="V71">
            <v>60249.8</v>
          </cell>
          <cell r="X71">
            <v>73</v>
          </cell>
          <cell r="Y71">
            <v>-154709</v>
          </cell>
          <cell r="BE71">
            <v>75</v>
          </cell>
          <cell r="BF71">
            <v>12115.671968600003</v>
          </cell>
          <cell r="CF71">
            <v>71</v>
          </cell>
          <cell r="CG71" t="str">
            <v>N</v>
          </cell>
        </row>
        <row r="72">
          <cell r="C72">
            <v>75</v>
          </cell>
          <cell r="D72">
            <v>5431410.4900000002</v>
          </cell>
          <cell r="I72">
            <v>75</v>
          </cell>
          <cell r="J72">
            <v>-599780.57999999996</v>
          </cell>
          <cell r="R72">
            <v>85</v>
          </cell>
          <cell r="S72">
            <v>-50894.94</v>
          </cell>
          <cell r="U72">
            <v>88</v>
          </cell>
          <cell r="V72">
            <v>72969.119999999995</v>
          </cell>
          <cell r="X72">
            <v>74</v>
          </cell>
          <cell r="Y72">
            <v>-42757</v>
          </cell>
          <cell r="BE72">
            <v>77</v>
          </cell>
          <cell r="BF72">
            <v>0</v>
          </cell>
          <cell r="CF72">
            <v>72</v>
          </cell>
          <cell r="CG72" t="str">
            <v>Y</v>
          </cell>
        </row>
        <row r="73">
          <cell r="C73">
            <v>77</v>
          </cell>
          <cell r="D73">
            <v>0</v>
          </cell>
          <cell r="I73">
            <v>77</v>
          </cell>
          <cell r="J73">
            <v>0</v>
          </cell>
          <cell r="R73">
            <v>86</v>
          </cell>
          <cell r="S73">
            <v>-3854909.92</v>
          </cell>
          <cell r="U73">
            <v>89</v>
          </cell>
          <cell r="V73">
            <v>2781</v>
          </cell>
          <cell r="X73">
            <v>75</v>
          </cell>
          <cell r="Y73">
            <v>-384570</v>
          </cell>
          <cell r="BE73">
            <v>79</v>
          </cell>
          <cell r="BF73">
            <v>17336.925242000001</v>
          </cell>
          <cell r="CF73">
            <v>73</v>
          </cell>
          <cell r="CG73" t="str">
            <v>N</v>
          </cell>
        </row>
        <row r="74">
          <cell r="C74">
            <v>79</v>
          </cell>
          <cell r="D74">
            <v>12004929.439999999</v>
          </cell>
          <cell r="I74">
            <v>79</v>
          </cell>
          <cell r="J74">
            <v>-2964792.57</v>
          </cell>
          <cell r="R74">
            <v>87</v>
          </cell>
          <cell r="S74">
            <v>-519851.69</v>
          </cell>
          <cell r="U74">
            <v>90</v>
          </cell>
          <cell r="V74">
            <v>393334.43</v>
          </cell>
          <cell r="X74">
            <v>77</v>
          </cell>
          <cell r="Y74">
            <v>0</v>
          </cell>
          <cell r="BE74">
            <v>80</v>
          </cell>
          <cell r="BF74">
            <v>216066.30235519994</v>
          </cell>
          <cell r="CF74">
            <v>74</v>
          </cell>
          <cell r="CG74" t="str">
            <v>Y</v>
          </cell>
        </row>
        <row r="75">
          <cell r="C75">
            <v>80</v>
          </cell>
          <cell r="D75">
            <v>87305363.549999997</v>
          </cell>
          <cell r="I75">
            <v>80</v>
          </cell>
          <cell r="J75">
            <v>-15777978.869999999</v>
          </cell>
          <cell r="R75">
            <v>88</v>
          </cell>
          <cell r="S75">
            <v>-1521082.66</v>
          </cell>
          <cell r="U75">
            <v>91</v>
          </cell>
          <cell r="V75">
            <v>70160.179999999993</v>
          </cell>
          <cell r="X75">
            <v>79</v>
          </cell>
          <cell r="Y75">
            <v>-511171</v>
          </cell>
          <cell r="BE75">
            <v>81</v>
          </cell>
          <cell r="BF75">
            <v>1967.8688475999993</v>
          </cell>
          <cell r="CF75">
            <v>75</v>
          </cell>
          <cell r="CG75" t="str">
            <v>Y</v>
          </cell>
        </row>
        <row r="76">
          <cell r="C76">
            <v>81</v>
          </cell>
          <cell r="D76">
            <v>1537084.66</v>
          </cell>
          <cell r="I76">
            <v>81</v>
          </cell>
          <cell r="J76">
            <v>-252784.59</v>
          </cell>
          <cell r="R76">
            <v>89</v>
          </cell>
          <cell r="S76">
            <v>-17267824.66</v>
          </cell>
          <cell r="U76">
            <v>92</v>
          </cell>
          <cell r="V76">
            <v>2333</v>
          </cell>
          <cell r="X76">
            <v>80</v>
          </cell>
          <cell r="Y76">
            <v>-4922354</v>
          </cell>
          <cell r="BE76">
            <v>83</v>
          </cell>
          <cell r="BF76">
            <v>61038.529934400009</v>
          </cell>
          <cell r="CF76">
            <v>77</v>
          </cell>
          <cell r="CG76" t="str">
            <v>Y</v>
          </cell>
        </row>
        <row r="77">
          <cell r="C77">
            <v>83</v>
          </cell>
          <cell r="D77">
            <v>20649057.960000001</v>
          </cell>
          <cell r="I77">
            <v>83</v>
          </cell>
          <cell r="J77">
            <v>-4284777.1500000004</v>
          </cell>
          <cell r="R77">
            <v>90</v>
          </cell>
          <cell r="S77">
            <v>-988573.75</v>
          </cell>
          <cell r="U77">
            <v>101</v>
          </cell>
          <cell r="V77">
            <v>31909.05</v>
          </cell>
          <cell r="X77">
            <v>81</v>
          </cell>
          <cell r="Y77">
            <v>-92428</v>
          </cell>
          <cell r="BE77">
            <v>85</v>
          </cell>
          <cell r="BF77">
            <v>1244.4690747999996</v>
          </cell>
          <cell r="CF77">
            <v>79</v>
          </cell>
          <cell r="CG77" t="str">
            <v>N</v>
          </cell>
        </row>
        <row r="78">
          <cell r="C78">
            <v>85</v>
          </cell>
          <cell r="D78">
            <v>277282.78000000003</v>
          </cell>
          <cell r="I78">
            <v>85</v>
          </cell>
          <cell r="J78">
            <v>-42959.86</v>
          </cell>
          <cell r="R78">
            <v>91</v>
          </cell>
          <cell r="S78">
            <v>-473233.51</v>
          </cell>
          <cell r="U78">
            <v>103</v>
          </cell>
          <cell r="V78">
            <v>38183.72</v>
          </cell>
          <cell r="X78">
            <v>83</v>
          </cell>
          <cell r="Y78">
            <v>-1333565</v>
          </cell>
          <cell r="BE78">
            <v>86</v>
          </cell>
          <cell r="BF78">
            <v>13367.725961199996</v>
          </cell>
          <cell r="CF78">
            <v>80</v>
          </cell>
          <cell r="CG78" t="str">
            <v>Y</v>
          </cell>
        </row>
        <row r="79">
          <cell r="C79">
            <v>86</v>
          </cell>
          <cell r="D79">
            <v>6309084.3399999999</v>
          </cell>
          <cell r="I79">
            <v>86</v>
          </cell>
          <cell r="J79">
            <v>-1043550.19</v>
          </cell>
          <cell r="R79">
            <v>92</v>
          </cell>
          <cell r="S79">
            <v>-837770.99</v>
          </cell>
          <cell r="U79">
            <v>104</v>
          </cell>
          <cell r="V79">
            <v>68131.899999999994</v>
          </cell>
          <cell r="X79">
            <v>85</v>
          </cell>
          <cell r="Y79">
            <v>-34693</v>
          </cell>
          <cell r="BE79">
            <v>87</v>
          </cell>
          <cell r="BF79">
            <v>15203.626373500001</v>
          </cell>
          <cell r="CF79">
            <v>81</v>
          </cell>
          <cell r="CG79" t="str">
            <v>Y</v>
          </cell>
        </row>
        <row r="80">
          <cell r="C80">
            <v>87</v>
          </cell>
          <cell r="D80">
            <v>9945525.0199999996</v>
          </cell>
          <cell r="I80">
            <v>87</v>
          </cell>
          <cell r="J80">
            <v>-2825445.2</v>
          </cell>
          <cell r="R80">
            <v>101</v>
          </cell>
          <cell r="S80">
            <v>-7352578.4100000001</v>
          </cell>
          <cell r="U80">
            <v>105</v>
          </cell>
          <cell r="V80">
            <v>31199.89</v>
          </cell>
          <cell r="X80">
            <v>86</v>
          </cell>
          <cell r="Y80">
            <v>-220972</v>
          </cell>
          <cell r="BE80">
            <v>88</v>
          </cell>
          <cell r="BF80">
            <v>15778.216984100003</v>
          </cell>
          <cell r="CF80">
            <v>83</v>
          </cell>
          <cell r="CG80" t="str">
            <v>Y</v>
          </cell>
        </row>
        <row r="81">
          <cell r="C81">
            <v>88</v>
          </cell>
          <cell r="D81">
            <v>6575926.7000000002</v>
          </cell>
          <cell r="I81">
            <v>88</v>
          </cell>
          <cell r="J81">
            <v>-1828359.89</v>
          </cell>
          <cell r="R81">
            <v>103</v>
          </cell>
          <cell r="S81">
            <v>-1495918.53</v>
          </cell>
          <cell r="U81">
            <v>106</v>
          </cell>
          <cell r="V81">
            <v>77097.37</v>
          </cell>
          <cell r="X81">
            <v>87</v>
          </cell>
          <cell r="Y81">
            <v>-288895</v>
          </cell>
          <cell r="BE81">
            <v>89</v>
          </cell>
          <cell r="BF81">
            <v>60526.496573299992</v>
          </cell>
          <cell r="CF81">
            <v>85</v>
          </cell>
          <cell r="CG81" t="str">
            <v>Y</v>
          </cell>
        </row>
        <row r="82">
          <cell r="C82">
            <v>89</v>
          </cell>
          <cell r="D82">
            <v>29794822.359999999</v>
          </cell>
          <cell r="I82">
            <v>89</v>
          </cell>
          <cell r="J82">
            <v>-3753981.35</v>
          </cell>
          <cell r="R82">
            <v>104</v>
          </cell>
          <cell r="S82">
            <v>-9126.7999999999993</v>
          </cell>
          <cell r="U82">
            <v>107</v>
          </cell>
          <cell r="V82">
            <v>150</v>
          </cell>
          <cell r="X82">
            <v>88</v>
          </cell>
          <cell r="Y82">
            <v>-135386</v>
          </cell>
          <cell r="BE82">
            <v>90</v>
          </cell>
          <cell r="BF82">
            <v>58043.765607800007</v>
          </cell>
          <cell r="CF82">
            <v>86</v>
          </cell>
          <cell r="CG82" t="str">
            <v>N</v>
          </cell>
        </row>
        <row r="83">
          <cell r="C83">
            <v>90</v>
          </cell>
          <cell r="D83">
            <v>13495427.01</v>
          </cell>
          <cell r="I83">
            <v>90</v>
          </cell>
          <cell r="J83">
            <v>-4406658.1100000003</v>
          </cell>
          <cell r="R83">
            <v>105</v>
          </cell>
          <cell r="S83">
            <v>-327585.15000000002</v>
          </cell>
          <cell r="U83">
            <v>108</v>
          </cell>
          <cell r="V83">
            <v>23721.26</v>
          </cell>
          <cell r="X83">
            <v>89</v>
          </cell>
          <cell r="Y83">
            <v>-417186.12</v>
          </cell>
          <cell r="BE83">
            <v>91</v>
          </cell>
          <cell r="BF83">
            <v>9717.228866899999</v>
          </cell>
          <cell r="CF83">
            <v>87</v>
          </cell>
          <cell r="CG83" t="str">
            <v>Y</v>
          </cell>
        </row>
        <row r="84">
          <cell r="C84">
            <v>91</v>
          </cell>
          <cell r="D84">
            <v>3826020.21</v>
          </cell>
          <cell r="I84">
            <v>91</v>
          </cell>
          <cell r="J84">
            <v>-1044086.75</v>
          </cell>
          <cell r="R84">
            <v>106</v>
          </cell>
          <cell r="S84">
            <v>-342</v>
          </cell>
          <cell r="U84">
            <v>109</v>
          </cell>
          <cell r="V84">
            <v>9151.7800000000007</v>
          </cell>
          <cell r="X84">
            <v>90</v>
          </cell>
          <cell r="Y84">
            <v>-1076805</v>
          </cell>
          <cell r="BE84">
            <v>92</v>
          </cell>
          <cell r="BF84">
            <v>2081.9724169000006</v>
          </cell>
          <cell r="CF84">
            <v>88</v>
          </cell>
          <cell r="CG84" t="str">
            <v>Y</v>
          </cell>
        </row>
        <row r="85">
          <cell r="C85">
            <v>92</v>
          </cell>
          <cell r="D85">
            <v>1529495.68</v>
          </cell>
          <cell r="I85">
            <v>92</v>
          </cell>
          <cell r="J85">
            <v>-206276.28</v>
          </cell>
          <cell r="R85">
            <v>107</v>
          </cell>
          <cell r="S85">
            <v>-1468875.64</v>
          </cell>
          <cell r="U85">
            <v>120</v>
          </cell>
          <cell r="V85">
            <v>9760.06</v>
          </cell>
          <cell r="X85">
            <v>91</v>
          </cell>
          <cell r="Y85">
            <v>-386189</v>
          </cell>
          <cell r="BE85">
            <v>93</v>
          </cell>
          <cell r="BF85">
            <v>2031.7800385004375</v>
          </cell>
          <cell r="CF85">
            <v>89</v>
          </cell>
          <cell r="CG85" t="str">
            <v>Y</v>
          </cell>
        </row>
        <row r="86">
          <cell r="C86">
            <v>93</v>
          </cell>
          <cell r="D86">
            <v>3046256.94</v>
          </cell>
          <cell r="I86">
            <v>93</v>
          </cell>
          <cell r="J86">
            <v>-1028137.25</v>
          </cell>
          <cell r="R86">
            <v>108</v>
          </cell>
          <cell r="S86">
            <v>-324508.32</v>
          </cell>
          <cell r="U86">
            <v>121</v>
          </cell>
          <cell r="V86">
            <v>24431.82</v>
          </cell>
          <cell r="X86">
            <v>92</v>
          </cell>
          <cell r="Y86">
            <v>-62086</v>
          </cell>
          <cell r="BE86">
            <v>94</v>
          </cell>
          <cell r="BF86">
            <v>976.7031006000002</v>
          </cell>
          <cell r="CF86">
            <v>90</v>
          </cell>
          <cell r="CG86" t="str">
            <v>N</v>
          </cell>
        </row>
        <row r="87">
          <cell r="C87">
            <v>94</v>
          </cell>
          <cell r="D87">
            <v>11634.19</v>
          </cell>
          <cell r="I87">
            <v>94</v>
          </cell>
          <cell r="J87">
            <v>7099.3</v>
          </cell>
          <cell r="R87">
            <v>109</v>
          </cell>
          <cell r="S87">
            <v>-88173.62</v>
          </cell>
          <cell r="U87">
            <v>122</v>
          </cell>
          <cell r="V87">
            <v>47017.13</v>
          </cell>
          <cell r="X87">
            <v>93</v>
          </cell>
          <cell r="Y87">
            <v>37244</v>
          </cell>
          <cell r="BE87">
            <v>101</v>
          </cell>
          <cell r="BF87">
            <v>105625.41562209999</v>
          </cell>
          <cell r="CF87">
            <v>91</v>
          </cell>
          <cell r="CG87" t="str">
            <v>Y</v>
          </cell>
        </row>
        <row r="88">
          <cell r="C88">
            <v>101</v>
          </cell>
          <cell r="D88">
            <v>38755270.740000002</v>
          </cell>
          <cell r="I88">
            <v>101</v>
          </cell>
          <cell r="J88">
            <v>-19234060.050000001</v>
          </cell>
          <cell r="R88">
            <v>120</v>
          </cell>
          <cell r="S88">
            <v>-6636518.1299999999</v>
          </cell>
          <cell r="U88">
            <v>123</v>
          </cell>
          <cell r="V88">
            <v>26600.78</v>
          </cell>
          <cell r="X88">
            <v>94</v>
          </cell>
          <cell r="Y88">
            <v>-10</v>
          </cell>
          <cell r="BE88">
            <v>103</v>
          </cell>
          <cell r="BF88">
            <v>7098.6270731000013</v>
          </cell>
          <cell r="CF88">
            <v>92</v>
          </cell>
          <cell r="CG88" t="str">
            <v>Y</v>
          </cell>
        </row>
        <row r="89">
          <cell r="C89">
            <v>103</v>
          </cell>
          <cell r="D89">
            <v>2570856.2000000002</v>
          </cell>
          <cell r="I89">
            <v>103</v>
          </cell>
          <cell r="J89">
            <v>-833588.68</v>
          </cell>
          <cell r="R89">
            <v>121</v>
          </cell>
          <cell r="S89">
            <v>-18961.72</v>
          </cell>
          <cell r="U89">
            <v>133</v>
          </cell>
          <cell r="V89">
            <v>5167.32</v>
          </cell>
          <cell r="X89">
            <v>101</v>
          </cell>
          <cell r="Y89">
            <v>-47656</v>
          </cell>
          <cell r="BE89">
            <v>104</v>
          </cell>
          <cell r="BF89">
            <v>2270.6207198999982</v>
          </cell>
          <cell r="CF89">
            <v>93</v>
          </cell>
          <cell r="CG89" t="str">
            <v>Y</v>
          </cell>
        </row>
        <row r="90">
          <cell r="C90">
            <v>104</v>
          </cell>
          <cell r="D90">
            <v>716119.17</v>
          </cell>
          <cell r="I90">
            <v>104</v>
          </cell>
          <cell r="J90">
            <v>-329726.15999999997</v>
          </cell>
          <cell r="R90">
            <v>122</v>
          </cell>
          <cell r="S90">
            <v>-280640.56</v>
          </cell>
          <cell r="U90">
            <v>135</v>
          </cell>
          <cell r="V90">
            <v>16920.04</v>
          </cell>
          <cell r="X90">
            <v>103</v>
          </cell>
          <cell r="Y90">
            <v>84835</v>
          </cell>
          <cell r="BE90">
            <v>105</v>
          </cell>
          <cell r="BF90">
            <v>26108.754381600014</v>
          </cell>
          <cell r="CF90">
            <v>94</v>
          </cell>
          <cell r="CG90" t="str">
            <v>Y</v>
          </cell>
        </row>
        <row r="91">
          <cell r="C91">
            <v>105</v>
          </cell>
          <cell r="D91">
            <v>2830210.65</v>
          </cell>
          <cell r="I91">
            <v>105</v>
          </cell>
          <cell r="J91">
            <v>-1539261.59</v>
          </cell>
          <cell r="R91">
            <v>123</v>
          </cell>
          <cell r="S91">
            <v>-409933.66</v>
          </cell>
          <cell r="U91">
            <v>140</v>
          </cell>
          <cell r="V91">
            <v>28890.45</v>
          </cell>
          <cell r="X91">
            <v>104</v>
          </cell>
          <cell r="Y91">
            <v>-51305</v>
          </cell>
          <cell r="BE91">
            <v>106</v>
          </cell>
          <cell r="BF91">
            <v>8369.7166496000027</v>
          </cell>
          <cell r="CF91">
            <v>101</v>
          </cell>
          <cell r="CG91" t="str">
            <v>Y</v>
          </cell>
        </row>
        <row r="92">
          <cell r="C92">
            <v>106</v>
          </cell>
          <cell r="D92">
            <v>2178170.15</v>
          </cell>
          <cell r="I92">
            <v>106</v>
          </cell>
          <cell r="J92">
            <v>-538214.98</v>
          </cell>
          <cell r="R92">
            <v>135</v>
          </cell>
          <cell r="S92">
            <v>-2427089.38</v>
          </cell>
          <cell r="U92">
            <v>150</v>
          </cell>
          <cell r="V92">
            <v>53193.120000000003</v>
          </cell>
          <cell r="X92">
            <v>105</v>
          </cell>
          <cell r="Y92">
            <v>-71259</v>
          </cell>
          <cell r="BE92">
            <v>107</v>
          </cell>
          <cell r="BF92">
            <v>13318.277416699999</v>
          </cell>
          <cell r="CF92">
            <v>103</v>
          </cell>
          <cell r="CG92" t="str">
            <v>N</v>
          </cell>
        </row>
        <row r="93">
          <cell r="C93">
            <v>107</v>
          </cell>
          <cell r="D93">
            <v>4550461.16</v>
          </cell>
          <cell r="I93">
            <v>107</v>
          </cell>
          <cell r="J93">
            <v>-1436091.03</v>
          </cell>
          <cell r="R93">
            <v>140</v>
          </cell>
          <cell r="S93">
            <v>-13532276.01</v>
          </cell>
          <cell r="U93">
            <v>151</v>
          </cell>
          <cell r="V93">
            <v>0</v>
          </cell>
          <cell r="X93">
            <v>106</v>
          </cell>
          <cell r="Y93">
            <v>-118946</v>
          </cell>
          <cell r="BE93">
            <v>108</v>
          </cell>
          <cell r="BF93">
            <v>2207.0997682999996</v>
          </cell>
          <cell r="CF93">
            <v>104</v>
          </cell>
          <cell r="CG93" t="str">
            <v>Y</v>
          </cell>
        </row>
        <row r="94">
          <cell r="C94">
            <v>108</v>
          </cell>
          <cell r="D94">
            <v>3448405.55</v>
          </cell>
          <cell r="I94">
            <v>108</v>
          </cell>
          <cell r="J94">
            <v>-1524294.43</v>
          </cell>
          <cell r="R94">
            <v>150</v>
          </cell>
          <cell r="S94">
            <v>-3242.27</v>
          </cell>
          <cell r="U94">
            <v>160</v>
          </cell>
          <cell r="V94">
            <v>249269.69</v>
          </cell>
          <cell r="X94">
            <v>107</v>
          </cell>
          <cell r="Y94">
            <v>-31625</v>
          </cell>
          <cell r="BE94">
            <v>109</v>
          </cell>
          <cell r="BF94">
            <v>2349.3481518000003</v>
          </cell>
          <cell r="CF94">
            <v>105</v>
          </cell>
          <cell r="CG94" t="str">
            <v>N</v>
          </cell>
        </row>
        <row r="95">
          <cell r="C95">
            <v>109</v>
          </cell>
          <cell r="D95">
            <v>1864421.95</v>
          </cell>
          <cell r="I95">
            <v>109</v>
          </cell>
          <cell r="J95">
            <v>-794791.98</v>
          </cell>
          <cell r="R95">
            <v>151</v>
          </cell>
          <cell r="S95">
            <v>-392975.69</v>
          </cell>
          <cell r="X95">
            <v>108</v>
          </cell>
          <cell r="Y95">
            <v>-24687</v>
          </cell>
          <cell r="BE95">
            <v>120</v>
          </cell>
          <cell r="BF95">
            <v>19795.060191700009</v>
          </cell>
          <cell r="CF95">
            <v>106</v>
          </cell>
          <cell r="CG95" t="str">
            <v>N</v>
          </cell>
        </row>
        <row r="96">
          <cell r="C96">
            <v>120</v>
          </cell>
          <cell r="D96">
            <v>9833724.2599999998</v>
          </cell>
          <cell r="I96">
            <v>120</v>
          </cell>
          <cell r="J96">
            <v>-1744987.04</v>
          </cell>
          <cell r="R96">
            <v>160</v>
          </cell>
          <cell r="S96">
            <v>-76251.429999999993</v>
          </cell>
          <cell r="X96">
            <v>109</v>
          </cell>
          <cell r="Y96">
            <v>-79441</v>
          </cell>
          <cell r="BE96">
            <v>121</v>
          </cell>
          <cell r="BF96">
            <v>1634.3137754000006</v>
          </cell>
          <cell r="CF96">
            <v>107</v>
          </cell>
          <cell r="CG96" t="str">
            <v>N</v>
          </cell>
        </row>
        <row r="97">
          <cell r="C97">
            <v>121</v>
          </cell>
          <cell r="D97">
            <v>461430.26</v>
          </cell>
          <cell r="I97">
            <v>121</v>
          </cell>
          <cell r="J97">
            <v>-310966.19</v>
          </cell>
          <cell r="R97">
            <v>165</v>
          </cell>
          <cell r="S97">
            <v>-46098.14</v>
          </cell>
          <cell r="X97">
            <v>120</v>
          </cell>
          <cell r="Y97">
            <v>-100024</v>
          </cell>
          <cell r="BE97">
            <v>122</v>
          </cell>
          <cell r="BF97">
            <v>10397.667584499997</v>
          </cell>
          <cell r="CF97">
            <v>108</v>
          </cell>
          <cell r="CG97" t="str">
            <v>N</v>
          </cell>
        </row>
        <row r="98">
          <cell r="C98">
            <v>122</v>
          </cell>
          <cell r="D98">
            <v>3989333.29</v>
          </cell>
          <cell r="I98">
            <v>122</v>
          </cell>
          <cell r="J98">
            <v>-888980.55</v>
          </cell>
          <cell r="X98">
            <v>121</v>
          </cell>
          <cell r="Y98">
            <v>-26823</v>
          </cell>
          <cell r="BE98">
            <v>123</v>
          </cell>
          <cell r="BF98">
            <v>1379.4861351</v>
          </cell>
          <cell r="CF98">
            <v>109</v>
          </cell>
          <cell r="CG98" t="str">
            <v>Y</v>
          </cell>
        </row>
        <row r="99">
          <cell r="C99">
            <v>123</v>
          </cell>
          <cell r="D99">
            <v>546039.87</v>
          </cell>
          <cell r="I99">
            <v>123</v>
          </cell>
          <cell r="J99">
            <v>-62611.56</v>
          </cell>
          <cell r="X99">
            <v>122</v>
          </cell>
          <cell r="Y99">
            <v>-181561</v>
          </cell>
          <cell r="BE99">
            <v>133</v>
          </cell>
          <cell r="BF99">
            <v>4597.5310681999963</v>
          </cell>
          <cell r="CF99">
            <v>120</v>
          </cell>
          <cell r="CG99" t="str">
            <v>N</v>
          </cell>
        </row>
        <row r="100">
          <cell r="C100">
            <v>133</v>
          </cell>
          <cell r="D100">
            <v>2356116.27</v>
          </cell>
          <cell r="I100">
            <v>133</v>
          </cell>
          <cell r="J100">
            <v>-373811.89</v>
          </cell>
          <cell r="X100">
            <v>123</v>
          </cell>
          <cell r="Y100">
            <v>-27383</v>
          </cell>
          <cell r="BE100">
            <v>135</v>
          </cell>
          <cell r="BF100">
            <v>60878.416684899996</v>
          </cell>
          <cell r="CF100">
            <v>121</v>
          </cell>
          <cell r="CG100" t="str">
            <v>N</v>
          </cell>
        </row>
        <row r="101">
          <cell r="C101">
            <v>135</v>
          </cell>
          <cell r="D101">
            <v>10390962.67</v>
          </cell>
          <cell r="I101">
            <v>135</v>
          </cell>
          <cell r="J101">
            <v>-3805428.59</v>
          </cell>
          <cell r="X101">
            <v>133</v>
          </cell>
          <cell r="Y101">
            <v>-43217</v>
          </cell>
          <cell r="BE101">
            <v>140</v>
          </cell>
          <cell r="BF101">
            <v>55868.066294499993</v>
          </cell>
          <cell r="CF101">
            <v>122</v>
          </cell>
          <cell r="CG101" t="str">
            <v>Y</v>
          </cell>
        </row>
        <row r="102">
          <cell r="C102">
            <v>140</v>
          </cell>
          <cell r="D102">
            <v>26677223.27</v>
          </cell>
          <cell r="I102">
            <v>140</v>
          </cell>
          <cell r="J102">
            <v>-10111066.41</v>
          </cell>
          <cell r="X102">
            <v>135</v>
          </cell>
          <cell r="Y102">
            <v>-504503</v>
          </cell>
          <cell r="BE102">
            <v>150</v>
          </cell>
          <cell r="BF102">
            <v>5697.056729099997</v>
          </cell>
          <cell r="CF102">
            <v>123</v>
          </cell>
          <cell r="CG102" t="str">
            <v>N</v>
          </cell>
        </row>
        <row r="103">
          <cell r="C103">
            <v>150</v>
          </cell>
          <cell r="D103">
            <v>911439.58</v>
          </cell>
          <cell r="I103">
            <v>150</v>
          </cell>
          <cell r="J103">
            <v>-225628.1</v>
          </cell>
          <cell r="X103">
            <v>140</v>
          </cell>
          <cell r="Y103">
            <v>527767</v>
          </cell>
          <cell r="BE103">
            <v>151</v>
          </cell>
          <cell r="BF103">
            <v>12084.868768700004</v>
          </cell>
          <cell r="CF103">
            <v>133</v>
          </cell>
          <cell r="CG103" t="str">
            <v>Y</v>
          </cell>
        </row>
        <row r="104">
          <cell r="C104">
            <v>151</v>
          </cell>
          <cell r="D104">
            <v>1232028.31</v>
          </cell>
          <cell r="I104">
            <v>151</v>
          </cell>
          <cell r="J104">
            <v>-283063.76</v>
          </cell>
          <cell r="X104">
            <v>150</v>
          </cell>
          <cell r="Y104">
            <v>-146625</v>
          </cell>
          <cell r="BE104">
            <v>160</v>
          </cell>
          <cell r="BF104">
            <v>39447.98193400001</v>
          </cell>
          <cell r="CF104">
            <v>135</v>
          </cell>
          <cell r="CG104" t="str">
            <v>Y</v>
          </cell>
        </row>
        <row r="105">
          <cell r="C105">
            <v>160</v>
          </cell>
          <cell r="D105">
            <v>7692277.9299999997</v>
          </cell>
          <cell r="I105">
            <v>160</v>
          </cell>
          <cell r="J105">
            <v>-3194558</v>
          </cell>
          <cell r="X105">
            <v>151</v>
          </cell>
          <cell r="Y105">
            <v>-114843</v>
          </cell>
          <cell r="BE105">
            <v>165</v>
          </cell>
          <cell r="BF105">
            <v>15260.306241200004</v>
          </cell>
          <cell r="CF105">
            <v>140</v>
          </cell>
          <cell r="CG105" t="str">
            <v>N</v>
          </cell>
        </row>
        <row r="106">
          <cell r="C106">
            <v>165</v>
          </cell>
          <cell r="D106">
            <v>1994603.87</v>
          </cell>
          <cell r="I106">
            <v>165</v>
          </cell>
          <cell r="J106">
            <v>-121322.2</v>
          </cell>
          <cell r="X106">
            <v>160</v>
          </cell>
          <cell r="Y106">
            <v>-358150</v>
          </cell>
          <cell r="CF106">
            <v>150</v>
          </cell>
          <cell r="CG106" t="str">
            <v>Y</v>
          </cell>
        </row>
        <row r="107">
          <cell r="X107">
            <v>165</v>
          </cell>
          <cell r="Y107">
            <v>-160563</v>
          </cell>
          <cell r="CF107">
            <v>151</v>
          </cell>
          <cell r="CG107" t="str">
            <v>N</v>
          </cell>
        </row>
        <row r="108">
          <cell r="CF108">
            <v>160</v>
          </cell>
          <cell r="CG108" t="str">
            <v>Y</v>
          </cell>
        </row>
        <row r="109">
          <cell r="CF109">
            <v>165</v>
          </cell>
          <cell r="CG109" t="str">
            <v>Y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CH A, C, G, H"/>
      <sheetName val="A INC STAT, PROFORMA"/>
      <sheetName val="ACCT RECON EXCERPT"/>
      <sheetName val="B - BAL SHT"/>
      <sheetName val="C, D - RATES &amp; REV"/>
      <sheetName val="E - ANNUALIZED REVENUES"/>
      <sheetName val="F - FIXED ASSETS &amp; DEP"/>
      <sheetName val="PLANT ACCT REC"/>
      <sheetName val="G O&amp;M EXPENSE ADJUSTMENTS"/>
      <sheetName val="B 3"/>
      <sheetName val="A1 OPERATING INCOME ADJUST"/>
      <sheetName val="H - COMP O&amp;M EXP"/>
      <sheetName val="I RATE CASE EXP"/>
      <sheetName val="J1 RATE BASE &amp; ROR EXIST. RATES"/>
      <sheetName val="J2 RATE BASE &amp; ROR PROP. RATES"/>
      <sheetName val="A 3 RATE BASE ADJ."/>
      <sheetName val="R CIAC SCHED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SCHEDULE A</v>
          </cell>
          <cell r="I1" t="str">
            <v>SCHEDULE A</v>
          </cell>
        </row>
        <row r="2">
          <cell r="A2" t="str">
            <v>SANDY CREEK UTILITIES, INC.</v>
          </cell>
          <cell r="I2" t="str">
            <v>SANDY CREEK UTILITIES, INC.</v>
          </cell>
        </row>
        <row r="3">
          <cell r="A3" t="str">
            <v>SUPPORTING SCHEDULE - DETAIL DESCRIPTION OF PRO FORMA ADJUSTMENTS TO RATE BASE - WATER</v>
          </cell>
          <cell r="I3" t="str">
            <v>SUPPORTING SCHEDULE - DETAIL DESCRIPTION OF PRO FORMA ADJUSTMENTS TO RATE BASE - WATER</v>
          </cell>
        </row>
        <row r="5">
          <cell r="A5" t="str">
            <v>Line</v>
          </cell>
          <cell r="I5" t="str">
            <v>Line</v>
          </cell>
        </row>
        <row r="6">
          <cell r="A6" t="str">
            <v>No.</v>
          </cell>
          <cell r="B6" t="str">
            <v>Description</v>
          </cell>
          <cell r="G6" t="str">
            <v>Water</v>
          </cell>
          <cell r="H6" t="str">
            <v>Wastewater</v>
          </cell>
          <cell r="I6" t="str">
            <v>No.</v>
          </cell>
          <cell r="J6" t="str">
            <v>Description</v>
          </cell>
          <cell r="O6" t="str">
            <v>Water</v>
          </cell>
          <cell r="P6" t="str">
            <v>Wastewater</v>
          </cell>
        </row>
        <row r="8">
          <cell r="B8" t="str">
            <v>(A)</v>
          </cell>
          <cell r="C8" t="str">
            <v xml:space="preserve">Test year revenue </v>
          </cell>
          <cell r="J8" t="str">
            <v>(E)</v>
          </cell>
          <cell r="K8" t="str">
            <v>Revenue Increase</v>
          </cell>
        </row>
        <row r="9">
          <cell r="C9" t="str">
            <v>To accrued Fire Protection Revenues for the test year</v>
          </cell>
          <cell r="G9">
            <v>3850.59</v>
          </cell>
          <cell r="K9" t="str">
            <v>Increase in revenue required by the Utility to realize a</v>
          </cell>
        </row>
        <row r="10">
          <cell r="C10" t="str">
            <v>Test year revenue - actual per Schedule B-4</v>
          </cell>
          <cell r="G10">
            <v>0</v>
          </cell>
          <cell r="K10">
            <v>0</v>
          </cell>
          <cell r="L10" t="str">
            <v>% rate of return</v>
          </cell>
          <cell r="O10">
            <v>0</v>
          </cell>
        </row>
        <row r="12">
          <cell r="C12" t="str">
            <v>Adjustment required</v>
          </cell>
          <cell r="G12">
            <v>3850.59</v>
          </cell>
          <cell r="H12">
            <v>0</v>
          </cell>
          <cell r="J12" t="str">
            <v>(F)</v>
          </cell>
          <cell r="K12" t="str">
            <v>Operations &amp; Maintenance (O &amp; M) Expenses</v>
          </cell>
        </row>
        <row r="13">
          <cell r="K13" t="str">
            <v>(1)  Salaries &amp; Wages</v>
          </cell>
        </row>
        <row r="14">
          <cell r="B14" t="str">
            <v>(B)</v>
          </cell>
          <cell r="C14" t="str">
            <v>Operations &amp; Maintenance (O &amp; M) Expenses</v>
          </cell>
          <cell r="K14" t="str">
            <v>A) Add sewer plant laborer</v>
          </cell>
          <cell r="P14">
            <v>0</v>
          </cell>
        </row>
        <row r="15">
          <cell r="C15" t="str">
            <v>(1) Engineering</v>
          </cell>
          <cell r="K15" t="str">
            <v>B) Add plant operator</v>
          </cell>
          <cell r="O15">
            <v>0</v>
          </cell>
        </row>
        <row r="16">
          <cell r="C16" t="str">
            <v>A) Remove engineering expense benefiting future periods</v>
          </cell>
          <cell r="G16">
            <v>0</v>
          </cell>
          <cell r="H16">
            <v>0</v>
          </cell>
          <cell r="K16" t="str">
            <v>C) Reclassify salaries of general and administrative  employees</v>
          </cell>
        </row>
        <row r="17">
          <cell r="C17" t="str">
            <v>B) Remove engineering expense for abandoned projects</v>
          </cell>
          <cell r="K17" t="str">
            <v>to utility per Adjustment (F)(5)(J) (below)</v>
          </cell>
        </row>
        <row r="18">
          <cell r="C18" t="str">
            <v xml:space="preserve">C) Annual amortization of expenses benefiting future </v>
          </cell>
          <cell r="O18" t="str">
            <v>.</v>
          </cell>
        </row>
        <row r="19">
          <cell r="C19" t="str">
            <v>periods (5 years)</v>
          </cell>
          <cell r="G19">
            <v>0</v>
          </cell>
          <cell r="H19">
            <v>0</v>
          </cell>
          <cell r="K19" t="str">
            <v>Total salaries and wages</v>
          </cell>
          <cell r="O19">
            <v>0</v>
          </cell>
          <cell r="P19">
            <v>0</v>
          </cell>
        </row>
        <row r="21">
          <cell r="C21" t="str">
            <v>Net adjustment</v>
          </cell>
          <cell r="G21">
            <v>0</v>
          </cell>
          <cell r="H21">
            <v>0</v>
          </cell>
          <cell r="K21" t="str">
            <v>(2) DEP required expenses per permit renewal conditions (1)</v>
          </cell>
        </row>
        <row r="22">
          <cell r="K22" t="str">
            <v>A) Additional testing</v>
          </cell>
        </row>
        <row r="23">
          <cell r="C23" t="str">
            <v>(2) Legal</v>
          </cell>
          <cell r="K23" t="str">
            <v>B) Annual meter calibration</v>
          </cell>
        </row>
        <row r="24">
          <cell r="C24" t="str">
            <v>A) Reclassify legal expenses to deferred account</v>
          </cell>
          <cell r="K24" t="str">
            <v>C) Clean &amp; scarify pond</v>
          </cell>
        </row>
        <row r="25">
          <cell r="C25" t="str">
            <v>B) Reclassify rate case expense</v>
          </cell>
          <cell r="G25">
            <v>0</v>
          </cell>
          <cell r="H25">
            <v>0</v>
          </cell>
          <cell r="K25" t="str">
            <v>D) Aquatic weed control</v>
          </cell>
        </row>
        <row r="26">
          <cell r="K26" t="str">
            <v>E) Mow &amp; maintain pond embankments and access areas</v>
          </cell>
        </row>
        <row r="27">
          <cell r="C27" t="str">
            <v>Net adjustment</v>
          </cell>
          <cell r="G27">
            <v>0</v>
          </cell>
          <cell r="H27">
            <v>0</v>
          </cell>
          <cell r="K27" t="str">
            <v>F) Increase in purchased power due required plant additions</v>
          </cell>
        </row>
        <row r="28">
          <cell r="K28" t="str">
            <v>G) Monitor 5 sites</v>
          </cell>
        </row>
        <row r="29">
          <cell r="C29" t="str">
            <v>(3) Other Expenses</v>
          </cell>
          <cell r="K29" t="str">
            <v>H) Soil testing</v>
          </cell>
        </row>
        <row r="30">
          <cell r="C30" t="str">
            <v>A) Remove miscellaneous non-utility expenses</v>
          </cell>
          <cell r="K30" t="str">
            <v>I) Engineering reports to DEP</v>
          </cell>
          <cell r="P30">
            <v>0</v>
          </cell>
        </row>
        <row r="31">
          <cell r="C31" t="str">
            <v>B) Adjust management fees for prior period expense</v>
          </cell>
        </row>
        <row r="32">
          <cell r="C32" t="str">
            <v>C) Remove and defer cost of painting facilities</v>
          </cell>
          <cell r="K32" t="str">
            <v>Total DEP required annual expenses</v>
          </cell>
          <cell r="P32">
            <v>0</v>
          </cell>
        </row>
        <row r="33">
          <cell r="C33" t="str">
            <v>D) Amortize deferred cost of painting facilities (5 years)</v>
          </cell>
          <cell r="G33">
            <v>0</v>
          </cell>
          <cell r="H33" t="str">
            <v xml:space="preserve"> </v>
          </cell>
        </row>
        <row r="34">
          <cell r="K34" t="str">
            <v>(3) Y2k compliance expenditures</v>
          </cell>
        </row>
        <row r="35">
          <cell r="C35" t="str">
            <v>Net adjustment</v>
          </cell>
          <cell r="G35">
            <v>0</v>
          </cell>
          <cell r="H35">
            <v>0</v>
          </cell>
          <cell r="K35" t="str">
            <v>A) Service bureau access license</v>
          </cell>
        </row>
        <row r="36">
          <cell r="K36" t="str">
            <v>B) Annual software fees</v>
          </cell>
        </row>
        <row r="37">
          <cell r="C37" t="str">
            <v>Total adjustment to O &amp; M Expense</v>
          </cell>
          <cell r="G37">
            <v>0</v>
          </cell>
          <cell r="H37">
            <v>0</v>
          </cell>
          <cell r="K37" t="str">
            <v>C) Annual telecommunications charges</v>
          </cell>
        </row>
        <row r="38">
          <cell r="K38" t="str">
            <v>D) Remove test year telecommunications charges</v>
          </cell>
        </row>
        <row r="39">
          <cell r="B39" t="str">
            <v>(C)</v>
          </cell>
          <cell r="C39" t="str">
            <v>Non-used and useful depreciation</v>
          </cell>
          <cell r="K39" t="str">
            <v>E) MIS manager allocated charges</v>
          </cell>
        </row>
        <row r="40">
          <cell r="C40" t="str">
            <v>Non-used and useful depreciation per Page B-14</v>
          </cell>
          <cell r="H40">
            <v>0</v>
          </cell>
          <cell r="K40" t="str">
            <v>F) Remove test year MIS manager allocated charges</v>
          </cell>
        </row>
        <row r="41">
          <cell r="K41" t="str">
            <v>G) Service bureau processing fees</v>
          </cell>
        </row>
        <row r="42">
          <cell r="B42" t="str">
            <v>(D)</v>
          </cell>
          <cell r="C42" t="str">
            <v>Taxes Other Than Income</v>
          </cell>
          <cell r="K42" t="str">
            <v>H) Remove test year service bureau processing fees</v>
          </cell>
          <cell r="O42">
            <v>0</v>
          </cell>
          <cell r="P42">
            <v>0</v>
          </cell>
        </row>
        <row r="43">
          <cell r="C43" t="str">
            <v>(2) Regulatory Assessment Fees (RAF's)</v>
          </cell>
        </row>
        <row r="44">
          <cell r="C44" t="str">
            <v xml:space="preserve">     RAF's associated with Adjustment (A) X 4.5%</v>
          </cell>
          <cell r="G44">
            <v>173</v>
          </cell>
          <cell r="H44">
            <v>0</v>
          </cell>
          <cell r="K44" t="str">
            <v>Total Y2k compliance expenditures</v>
          </cell>
          <cell r="O44">
            <v>0</v>
          </cell>
          <cell r="P44">
            <v>0</v>
          </cell>
        </row>
        <row r="49">
          <cell r="A49" t="str">
            <v>SCHEDULE A</v>
          </cell>
          <cell r="I49" t="str">
            <v>SCHEDULE A</v>
          </cell>
        </row>
        <row r="50">
          <cell r="A50" t="str">
            <v>SANDY CREEK UTILITIES, INC.</v>
          </cell>
          <cell r="I50" t="str">
            <v>SANDY CREEK UTILITIES, INC.</v>
          </cell>
        </row>
        <row r="51">
          <cell r="A51" t="str">
            <v>SUPPORTING SCHEDULE - DETAIL DESCRIPTION OF PRO FORMA ADJUSTMENTS TO RATE BASE - WATER</v>
          </cell>
          <cell r="I51" t="str">
            <v>SUPPORTING SCHEDULE - DETAIL DESCRIPTION OF PRO FORMA ADJUSTMENTS TO RATE BASE - WATER</v>
          </cell>
        </row>
        <row r="53">
          <cell r="A53" t="str">
            <v>Line</v>
          </cell>
          <cell r="I53" t="str">
            <v>Line</v>
          </cell>
        </row>
        <row r="54">
          <cell r="A54" t="str">
            <v>No.</v>
          </cell>
          <cell r="B54" t="str">
            <v>Description</v>
          </cell>
          <cell r="G54" t="str">
            <v>Water</v>
          </cell>
          <cell r="H54" t="str">
            <v>Wastewater</v>
          </cell>
          <cell r="I54" t="str">
            <v>No.</v>
          </cell>
          <cell r="J54" t="str">
            <v>Description</v>
          </cell>
          <cell r="O54" t="str">
            <v>Water</v>
          </cell>
          <cell r="P54" t="str">
            <v>Wastewater</v>
          </cell>
        </row>
        <row r="56">
          <cell r="B56" t="str">
            <v>(F)</v>
          </cell>
          <cell r="C56" t="str">
            <v>Operations &amp; Maintenance (O &amp; M) Expenses (Continued)</v>
          </cell>
          <cell r="J56" t="str">
            <v>(G)</v>
          </cell>
          <cell r="K56" t="str">
            <v>Depreciation Expense (Continued)</v>
          </cell>
        </row>
        <row r="57">
          <cell r="C57" t="str">
            <v>(4) Amortization of rate case expense</v>
          </cell>
          <cell r="K57" t="str">
            <v>(1) Depreciation on assets per Schedule A-3 (Continued)</v>
          </cell>
        </row>
        <row r="58">
          <cell r="C58" t="str">
            <v>Amortization per Schedule B-10</v>
          </cell>
          <cell r="G58">
            <v>0</v>
          </cell>
          <cell r="H58">
            <v>0</v>
          </cell>
          <cell r="K58" t="str">
            <v>K) Convert old generator to mobile</v>
          </cell>
          <cell r="O58">
            <v>0</v>
          </cell>
          <cell r="P58">
            <v>0</v>
          </cell>
        </row>
        <row r="59">
          <cell r="C59" t="str">
            <v>Less: Test year amortization</v>
          </cell>
          <cell r="G59">
            <v>0</v>
          </cell>
          <cell r="H59">
            <v>0</v>
          </cell>
          <cell r="K59" t="str">
            <v>L) Capitalize WIP - Indian Mound Rd</v>
          </cell>
        </row>
        <row r="60">
          <cell r="K60" t="str">
            <v>M) Capitalize WIP - Berms at Ponds 6 &amp; 7</v>
          </cell>
          <cell r="O60" t="str">
            <v xml:space="preserve"> </v>
          </cell>
        </row>
        <row r="61">
          <cell r="C61" t="str">
            <v>Net rate case amortization</v>
          </cell>
          <cell r="G61">
            <v>0</v>
          </cell>
          <cell r="H61">
            <v>0</v>
          </cell>
        </row>
        <row r="62">
          <cell r="K62" t="str">
            <v>Total adjustment required</v>
          </cell>
          <cell r="O62">
            <v>0</v>
          </cell>
          <cell r="P62">
            <v>0</v>
          </cell>
        </row>
        <row r="63">
          <cell r="C63" t="str">
            <v>(5) Other Expenses</v>
          </cell>
        </row>
        <row r="64">
          <cell r="C64" t="str">
            <v>A) Indianwood maintenance (2)</v>
          </cell>
          <cell r="K64" t="str">
            <v>(2) Depreciation on assets acquired during the test year</v>
          </cell>
        </row>
        <row r="65">
          <cell r="C65" t="str">
            <v>B) Copier expenses</v>
          </cell>
          <cell r="K65" t="str">
            <v>A) Total annual depreciation</v>
          </cell>
        </row>
        <row r="66">
          <cell r="C66" t="str">
            <v>C) T-1 line expenses</v>
          </cell>
          <cell r="K66" t="str">
            <v>B) Remove depreciation taken during test year</v>
          </cell>
          <cell r="O66">
            <v>0</v>
          </cell>
          <cell r="P66">
            <v>0</v>
          </cell>
        </row>
        <row r="67">
          <cell r="C67" t="str">
            <v>D) Sludge hauling expenses</v>
          </cell>
        </row>
        <row r="68">
          <cell r="C68" t="str">
            <v>E) Remove test year sludge hauling expenses</v>
          </cell>
          <cell r="K68" t="str">
            <v>Total adjustment required</v>
          </cell>
          <cell r="O68">
            <v>0</v>
          </cell>
          <cell r="P68">
            <v>0</v>
          </cell>
        </row>
        <row r="69">
          <cell r="C69" t="str">
            <v>F) Land lease for effluent disposal</v>
          </cell>
        </row>
        <row r="70">
          <cell r="C70" t="str">
            <v>G) Remove test year land lease for effluent disposal</v>
          </cell>
          <cell r="K70" t="str">
            <v>(3) Non-used and useful depreciation</v>
          </cell>
        </row>
        <row r="71">
          <cell r="C71" t="str">
            <v>H) Adjust benefits for increase in health insurance</v>
          </cell>
          <cell r="K71" t="str">
            <v>Non-used and useful depreciation on Adjustment 1(C) above</v>
          </cell>
          <cell r="P71">
            <v>0</v>
          </cell>
        </row>
        <row r="72">
          <cell r="C72" t="str">
            <v>I) Adjust management fees for increase in health insurance</v>
          </cell>
        </row>
        <row r="73">
          <cell r="C73" t="str">
            <v>J) Adjust management fees for reclassification of utility employees</v>
          </cell>
          <cell r="K73" t="str">
            <v>Total depreciation adjustment</v>
          </cell>
          <cell r="O73">
            <v>0</v>
          </cell>
          <cell r="P73">
            <v>0</v>
          </cell>
        </row>
        <row r="74">
          <cell r="C74" t="str">
            <v>from management fees to direct utility</v>
          </cell>
        </row>
        <row r="75">
          <cell r="C75" t="str">
            <v xml:space="preserve">K) Adjust employee benefits for reclassification of utility </v>
          </cell>
          <cell r="J75" t="str">
            <v>(H)</v>
          </cell>
          <cell r="K75" t="str">
            <v>Amortization</v>
          </cell>
        </row>
        <row r="76">
          <cell r="C76" t="str">
            <v>employees per (F)(5)(J) (above)</v>
          </cell>
          <cell r="K76" t="str">
            <v>Annual amortization of deferred legal expenses for acquisition</v>
          </cell>
        </row>
        <row r="77">
          <cell r="C77" t="str">
            <v>L) Employee benefits for new employees per (F)(1)(A) and</v>
          </cell>
          <cell r="K77" t="str">
            <v>of Indianwood system per (B)(2)(A) (above)</v>
          </cell>
          <cell r="O77">
            <v>0</v>
          </cell>
          <cell r="P77">
            <v>0</v>
          </cell>
        </row>
        <row r="78">
          <cell r="C78" t="str">
            <v>(F)(1)(B) (above)</v>
          </cell>
          <cell r="G78">
            <v>0</v>
          </cell>
          <cell r="H78">
            <v>0</v>
          </cell>
        </row>
        <row r="79">
          <cell r="J79" t="str">
            <v>(I)</v>
          </cell>
          <cell r="K79" t="str">
            <v>Taxes Other Than Income</v>
          </cell>
        </row>
        <row r="80">
          <cell r="C80" t="str">
            <v>Total other expenses</v>
          </cell>
          <cell r="G80">
            <v>0</v>
          </cell>
          <cell r="H80">
            <v>0</v>
          </cell>
          <cell r="K80" t="str">
            <v>(1) Regulatory Assessment Fees (RAF's)</v>
          </cell>
        </row>
        <row r="81">
          <cell r="K81" t="str">
            <v>Total revenue requested</v>
          </cell>
          <cell r="O81">
            <v>0</v>
          </cell>
          <cell r="P81">
            <v>0</v>
          </cell>
        </row>
        <row r="82">
          <cell r="C82" t="str">
            <v>Total adjustments to O &amp; M expenses</v>
          </cell>
          <cell r="G82">
            <v>0</v>
          </cell>
          <cell r="H82">
            <v>0</v>
          </cell>
          <cell r="K82" t="str">
            <v>RAF rate</v>
          </cell>
          <cell r="O82">
            <v>4.4999999999999998E-2</v>
          </cell>
        </row>
        <row r="84">
          <cell r="B84" t="str">
            <v>(G)</v>
          </cell>
          <cell r="C84" t="str">
            <v>Depreciation Expense</v>
          </cell>
          <cell r="K84" t="str">
            <v>Total RAF's</v>
          </cell>
          <cell r="O84">
            <v>0</v>
          </cell>
          <cell r="P84">
            <v>0</v>
          </cell>
        </row>
        <row r="85">
          <cell r="C85" t="str">
            <v>(1) Depreciation on assets per Schedule A-3</v>
          </cell>
          <cell r="K85" t="str">
            <v>Adjusted test year RAF's</v>
          </cell>
          <cell r="O85">
            <v>0</v>
          </cell>
        </row>
        <row r="86">
          <cell r="C86" t="str">
            <v>A) Truck addition</v>
          </cell>
          <cell r="G86">
            <v>0</v>
          </cell>
          <cell r="H86">
            <v>0</v>
          </cell>
        </row>
        <row r="87">
          <cell r="C87" t="str">
            <v>B) Truck addition</v>
          </cell>
          <cell r="K87" t="str">
            <v>Adjustment required</v>
          </cell>
          <cell r="O87">
            <v>0</v>
          </cell>
          <cell r="P87">
            <v>0</v>
          </cell>
        </row>
        <row r="88">
          <cell r="C88" t="str">
            <v>C) DEP required improvements</v>
          </cell>
        </row>
        <row r="89">
          <cell r="C89" t="str">
            <v>D) Copier</v>
          </cell>
          <cell r="K89" t="str">
            <v>(2) Payroll Taxes</v>
          </cell>
        </row>
        <row r="90">
          <cell r="C90" t="str">
            <v>F) T-1 line</v>
          </cell>
          <cell r="K90" t="str">
            <v>Total increase in salaries per Adjustment (F)(1) (above)</v>
          </cell>
          <cell r="O90">
            <v>0</v>
          </cell>
          <cell r="P90">
            <v>0</v>
          </cell>
        </row>
        <row r="91">
          <cell r="C91" t="str">
            <v>G) Water plant improvements</v>
          </cell>
          <cell r="K91" t="str">
            <v>Payroll tax rate</v>
          </cell>
          <cell r="O91">
            <v>7.6499999999999999E-2</v>
          </cell>
        </row>
        <row r="92">
          <cell r="C92" t="str">
            <v>H) Phone system</v>
          </cell>
        </row>
        <row r="93">
          <cell r="C93" t="str">
            <v>I) Water plant tie-in to sewer plant</v>
          </cell>
          <cell r="K93" t="str">
            <v>Total increase in payroll taxes</v>
          </cell>
          <cell r="O93">
            <v>0</v>
          </cell>
          <cell r="P93">
            <v>0</v>
          </cell>
        </row>
        <row r="94">
          <cell r="C94" t="str">
            <v>J) Generator</v>
          </cell>
        </row>
        <row r="97">
          <cell r="A97" t="str">
            <v>SCHEDULE A</v>
          </cell>
          <cell r="I97" t="str">
            <v>SCHEDULE 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A77"/>
  <sheetViews>
    <sheetView topLeftCell="A49" zoomScaleNormal="100" workbookViewId="0">
      <selection activeCell="H27" sqref="H27"/>
    </sheetView>
  </sheetViews>
  <sheetFormatPr defaultColWidth="9.140625" defaultRowHeight="12.75"/>
  <cols>
    <col min="1" max="1" width="4.7109375" style="186" customWidth="1"/>
    <col min="2" max="2" width="9.7109375" style="186" hidden="1" customWidth="1"/>
    <col min="3" max="3" width="6.42578125" style="186" customWidth="1"/>
    <col min="4" max="4" width="30.5703125" style="186" customWidth="1"/>
    <col min="5" max="5" width="2.7109375" style="186" customWidth="1"/>
    <col min="6" max="6" width="10.7109375" style="186" customWidth="1"/>
    <col min="7" max="7" width="2.7109375" style="186" customWidth="1"/>
    <col min="8" max="8" width="11.42578125" style="186" customWidth="1"/>
    <col min="9" max="9" width="2.7109375" style="186" customWidth="1"/>
    <col min="10" max="10" width="10.7109375" style="236" customWidth="1"/>
    <col min="11" max="11" width="2.7109375" style="236" customWidth="1"/>
    <col min="12" max="12" width="15.5703125" style="186" customWidth="1"/>
    <col min="13" max="16384" width="9.140625" style="177"/>
  </cols>
  <sheetData>
    <row r="1" spans="1:12" s="164" customFormat="1">
      <c r="A1" s="283" t="s">
        <v>199</v>
      </c>
      <c r="B1" s="284"/>
      <c r="C1" s="284"/>
      <c r="D1" s="284"/>
      <c r="E1" s="284"/>
      <c r="F1" s="284"/>
      <c r="G1" s="163"/>
      <c r="H1" s="157"/>
      <c r="I1" s="157"/>
      <c r="J1" s="158"/>
      <c r="K1" s="158"/>
      <c r="L1" s="161" t="s">
        <v>1</v>
      </c>
    </row>
    <row r="2" spans="1:12" s="164" customFormat="1" ht="12">
      <c r="A2" s="283" t="s">
        <v>262</v>
      </c>
      <c r="B2" s="283"/>
      <c r="C2" s="283"/>
      <c r="D2" s="283"/>
      <c r="E2" s="162"/>
      <c r="F2" s="165"/>
      <c r="G2" s="165"/>
      <c r="H2" s="157"/>
      <c r="I2" s="157"/>
      <c r="J2" s="158"/>
      <c r="K2" s="158"/>
      <c r="L2" s="161" t="s">
        <v>200</v>
      </c>
    </row>
    <row r="3" spans="1:12" s="164" customFormat="1" ht="12">
      <c r="A3" s="288" t="s">
        <v>344</v>
      </c>
      <c r="B3" s="288"/>
      <c r="C3" s="288"/>
      <c r="D3" s="288"/>
      <c r="E3" s="166"/>
      <c r="F3" s="165"/>
      <c r="G3" s="165"/>
      <c r="H3" s="157"/>
      <c r="I3" s="157"/>
      <c r="J3" s="158"/>
      <c r="K3" s="158"/>
      <c r="L3" s="161" t="s">
        <v>264</v>
      </c>
    </row>
    <row r="4" spans="1:12" s="164" customFormat="1">
      <c r="A4" s="289" t="s">
        <v>6</v>
      </c>
      <c r="B4" s="284"/>
      <c r="C4" s="284"/>
      <c r="D4" s="284"/>
      <c r="E4" s="163"/>
      <c r="F4" s="165"/>
      <c r="G4" s="165"/>
      <c r="H4" s="157"/>
      <c r="I4" s="157"/>
      <c r="J4" s="158"/>
      <c r="K4" s="158"/>
      <c r="L4" s="167" t="s">
        <v>7</v>
      </c>
    </row>
    <row r="5" spans="1:12" s="164" customFormat="1">
      <c r="A5" s="289" t="s">
        <v>9</v>
      </c>
      <c r="B5" s="284"/>
      <c r="C5" s="284"/>
      <c r="D5" s="284"/>
      <c r="E5" s="163"/>
      <c r="F5" s="165"/>
      <c r="G5" s="165"/>
      <c r="H5" s="157"/>
      <c r="I5" s="157"/>
      <c r="J5" s="158"/>
      <c r="K5" s="158"/>
      <c r="L5" s="160"/>
    </row>
    <row r="6" spans="1:12" s="164" customFormat="1">
      <c r="A6" s="283" t="s">
        <v>201</v>
      </c>
      <c r="B6" s="284"/>
      <c r="C6" s="284"/>
      <c r="D6" s="284"/>
      <c r="E6" s="163"/>
      <c r="F6" s="159"/>
      <c r="G6" s="159"/>
      <c r="H6" s="159"/>
      <c r="I6" s="159"/>
      <c r="J6" s="158"/>
      <c r="K6" s="158"/>
      <c r="L6" s="159"/>
    </row>
    <row r="7" spans="1:12" s="164" customFormat="1" ht="32.25" customHeight="1">
      <c r="A7" s="285" t="s">
        <v>202</v>
      </c>
      <c r="B7" s="286"/>
      <c r="C7" s="286"/>
      <c r="D7" s="286"/>
      <c r="E7" s="287"/>
      <c r="F7" s="286"/>
      <c r="G7" s="287"/>
      <c r="H7" s="286"/>
      <c r="I7" s="287"/>
      <c r="J7" s="286"/>
      <c r="K7" s="287"/>
      <c r="L7" s="286"/>
    </row>
    <row r="8" spans="1:12" s="164" customFormat="1" ht="12">
      <c r="A8" s="168"/>
      <c r="B8" s="168"/>
      <c r="C8" s="168"/>
      <c r="D8" s="168">
        <v>-1</v>
      </c>
      <c r="E8" s="168"/>
      <c r="F8" s="168">
        <v>-2</v>
      </c>
      <c r="G8" s="168"/>
      <c r="H8" s="168">
        <v>-3</v>
      </c>
      <c r="I8" s="168"/>
      <c r="J8" s="168">
        <v>-4</v>
      </c>
      <c r="K8" s="168"/>
      <c r="L8" s="168">
        <v>-5</v>
      </c>
    </row>
    <row r="9" spans="1:12" s="170" customFormat="1" ht="14.25" customHeight="1">
      <c r="A9" s="169"/>
      <c r="B9" s="169"/>
      <c r="C9" s="169"/>
      <c r="D9" s="169"/>
      <c r="E9" s="169"/>
      <c r="F9" s="169"/>
      <c r="G9" s="169"/>
      <c r="H9" s="169" t="s">
        <v>203</v>
      </c>
      <c r="I9" s="169"/>
      <c r="J9" s="169" t="s">
        <v>268</v>
      </c>
      <c r="K9" s="169"/>
      <c r="L9" s="169" t="s">
        <v>268</v>
      </c>
    </row>
    <row r="10" spans="1:12" s="164" customFormat="1" ht="27.75" customHeight="1">
      <c r="A10" s="171" t="s">
        <v>205</v>
      </c>
      <c r="B10" s="171" t="s">
        <v>206</v>
      </c>
      <c r="C10" s="171"/>
      <c r="D10" s="171" t="s">
        <v>21</v>
      </c>
      <c r="E10" s="171"/>
      <c r="F10" s="171" t="s">
        <v>256</v>
      </c>
      <c r="G10" s="171"/>
      <c r="H10" s="171" t="s">
        <v>204</v>
      </c>
      <c r="I10" s="171"/>
      <c r="J10" s="171" t="s">
        <v>269</v>
      </c>
      <c r="K10" s="171"/>
      <c r="L10" s="246" t="s">
        <v>257</v>
      </c>
    </row>
    <row r="11" spans="1:12">
      <c r="A11" s="172">
        <v>1</v>
      </c>
      <c r="B11" s="173"/>
      <c r="C11" s="174" t="s">
        <v>258</v>
      </c>
      <c r="D11" s="172"/>
      <c r="E11" s="172"/>
      <c r="F11" s="172"/>
      <c r="G11" s="172"/>
      <c r="H11" s="175"/>
      <c r="I11" s="175"/>
      <c r="J11" s="175"/>
      <c r="K11" s="175"/>
      <c r="L11" s="175"/>
    </row>
    <row r="12" spans="1:12">
      <c r="A12" s="172">
        <f>A11+1</f>
        <v>2</v>
      </c>
      <c r="B12" s="172">
        <v>68001</v>
      </c>
      <c r="C12" s="178"/>
      <c r="D12" s="179" t="s">
        <v>207</v>
      </c>
      <c r="E12" s="179"/>
      <c r="F12" s="180">
        <f>+'W-Bills Summary'!AA7</f>
        <v>314354</v>
      </c>
      <c r="G12" s="180"/>
      <c r="H12" s="181"/>
      <c r="I12" s="181"/>
      <c r="J12" s="237">
        <f>+'Water Rate Design'!I9</f>
        <v>11.54</v>
      </c>
      <c r="K12" s="237"/>
      <c r="L12" s="239">
        <f>+F12*J12</f>
        <v>3627645.1599999997</v>
      </c>
    </row>
    <row r="13" spans="1:12">
      <c r="A13" s="172">
        <f t="shared" ref="A13:A76" si="0">A12+1</f>
        <v>3</v>
      </c>
      <c r="B13" s="172">
        <v>68001</v>
      </c>
      <c r="C13" s="178"/>
      <c r="D13" s="179" t="s">
        <v>208</v>
      </c>
      <c r="E13" s="179"/>
      <c r="F13" s="180">
        <f>+'W-Bills Summary'!AA8</f>
        <v>0</v>
      </c>
      <c r="G13" s="180"/>
      <c r="H13" s="181"/>
      <c r="I13" s="181"/>
      <c r="J13" s="237">
        <f>+'Water Rate Design'!I10</f>
        <v>17.309999999999999</v>
      </c>
      <c r="K13" s="237"/>
      <c r="L13" s="240">
        <f t="shared" ref="L13:L21" si="1">+F13*J13</f>
        <v>0</v>
      </c>
    </row>
    <row r="14" spans="1:12">
      <c r="A14" s="172">
        <f>A13+1</f>
        <v>4</v>
      </c>
      <c r="B14" s="172">
        <v>68003</v>
      </c>
      <c r="C14" s="178"/>
      <c r="D14" s="179" t="s">
        <v>209</v>
      </c>
      <c r="E14" s="179"/>
      <c r="F14" s="180">
        <f>+'W-Bills Summary'!AA9</f>
        <v>46120</v>
      </c>
      <c r="G14" s="180"/>
      <c r="H14" s="181"/>
      <c r="I14" s="181"/>
      <c r="J14" s="237">
        <f>+'Water Rate Design'!I11</f>
        <v>28.84</v>
      </c>
      <c r="K14" s="237"/>
      <c r="L14" s="240">
        <f t="shared" si="1"/>
        <v>1330100.8</v>
      </c>
    </row>
    <row r="15" spans="1:12">
      <c r="A15" s="172">
        <f t="shared" si="0"/>
        <v>5</v>
      </c>
      <c r="B15" s="172">
        <v>68004</v>
      </c>
      <c r="C15" s="178"/>
      <c r="D15" s="179" t="s">
        <v>210</v>
      </c>
      <c r="E15" s="179"/>
      <c r="F15" s="180">
        <f>+'W-Bills Summary'!AA10</f>
        <v>227</v>
      </c>
      <c r="G15" s="180"/>
      <c r="H15" s="181"/>
      <c r="I15" s="181"/>
      <c r="J15" s="237">
        <f>+'Water Rate Design'!I12</f>
        <v>57.69</v>
      </c>
      <c r="K15" s="237"/>
      <c r="L15" s="240">
        <f t="shared" si="1"/>
        <v>13095.63</v>
      </c>
    </row>
    <row r="16" spans="1:12">
      <c r="A16" s="172">
        <f t="shared" si="0"/>
        <v>6</v>
      </c>
      <c r="B16" s="172">
        <v>68004</v>
      </c>
      <c r="C16" s="178"/>
      <c r="D16" s="179" t="s">
        <v>211</v>
      </c>
      <c r="E16" s="179"/>
      <c r="F16" s="180">
        <f>+'W-Bills Summary'!AA11</f>
        <v>11.5</v>
      </c>
      <c r="G16" s="180"/>
      <c r="H16" s="181"/>
      <c r="I16" s="181"/>
      <c r="J16" s="237">
        <f>+'Water Rate Design'!I13</f>
        <v>92.3</v>
      </c>
      <c r="K16" s="237"/>
      <c r="L16" s="240">
        <f t="shared" si="1"/>
        <v>1061.45</v>
      </c>
    </row>
    <row r="17" spans="1:105">
      <c r="A17" s="172">
        <f t="shared" si="0"/>
        <v>7</v>
      </c>
      <c r="B17" s="172">
        <v>68004</v>
      </c>
      <c r="C17" s="178"/>
      <c r="D17" s="179" t="s">
        <v>212</v>
      </c>
      <c r="E17" s="179"/>
      <c r="F17" s="180">
        <f>+'W-Bills Summary'!AA12</f>
        <v>0</v>
      </c>
      <c r="G17" s="180"/>
      <c r="H17" s="181"/>
      <c r="I17" s="181"/>
      <c r="J17" s="237">
        <f>+'Water Rate Design'!I14</f>
        <v>184.59</v>
      </c>
      <c r="K17" s="237"/>
      <c r="L17" s="240">
        <f t="shared" si="1"/>
        <v>0</v>
      </c>
    </row>
    <row r="18" spans="1:105">
      <c r="A18" s="172">
        <f t="shared" si="0"/>
        <v>8</v>
      </c>
      <c r="B18" s="172">
        <v>68004</v>
      </c>
      <c r="C18" s="178"/>
      <c r="D18" s="179" t="s">
        <v>213</v>
      </c>
      <c r="E18" s="179"/>
      <c r="F18" s="180">
        <f>+'W-Bills Summary'!AA13</f>
        <v>0</v>
      </c>
      <c r="G18" s="180"/>
      <c r="H18" s="181"/>
      <c r="I18" s="181"/>
      <c r="J18" s="237">
        <f>+'Water Rate Design'!I15</f>
        <v>288.43</v>
      </c>
      <c r="K18" s="237"/>
      <c r="L18" s="240">
        <f t="shared" si="1"/>
        <v>0</v>
      </c>
    </row>
    <row r="19" spans="1:105">
      <c r="A19" s="172">
        <f t="shared" si="0"/>
        <v>9</v>
      </c>
      <c r="B19" s="172">
        <v>68004</v>
      </c>
      <c r="C19" s="178"/>
      <c r="D19" s="179" t="s">
        <v>214</v>
      </c>
      <c r="E19" s="179"/>
      <c r="F19" s="180">
        <f>+'W-Bills Summary'!AA14</f>
        <v>0</v>
      </c>
      <c r="G19" s="180"/>
      <c r="H19" s="181"/>
      <c r="I19" s="181"/>
      <c r="J19" s="237">
        <f>+'Water Rate Design'!I16</f>
        <v>576.86</v>
      </c>
      <c r="K19" s="237"/>
      <c r="L19" s="240">
        <f t="shared" si="1"/>
        <v>0</v>
      </c>
    </row>
    <row r="20" spans="1:105">
      <c r="A20" s="172">
        <f t="shared" si="0"/>
        <v>10</v>
      </c>
      <c r="B20" s="172">
        <v>68004</v>
      </c>
      <c r="C20" s="178"/>
      <c r="D20" s="179" t="s">
        <v>215</v>
      </c>
      <c r="E20" s="179"/>
      <c r="F20" s="180">
        <f>+'W-Bills Summary'!AA15</f>
        <v>46</v>
      </c>
      <c r="G20" s="180"/>
      <c r="H20" s="181"/>
      <c r="I20" s="181"/>
      <c r="J20" s="237">
        <f>+'Water Rate Design'!I17</f>
        <v>922.97</v>
      </c>
      <c r="K20" s="237"/>
      <c r="L20" s="240">
        <f t="shared" si="1"/>
        <v>42456.62</v>
      </c>
    </row>
    <row r="21" spans="1:105">
      <c r="A21" s="172">
        <f t="shared" si="0"/>
        <v>11</v>
      </c>
      <c r="B21" s="172"/>
      <c r="C21" s="178"/>
      <c r="D21" s="179" t="s">
        <v>216</v>
      </c>
      <c r="E21" s="179"/>
      <c r="F21" s="180">
        <f>+'W-Bills Summary'!AA16</f>
        <v>0</v>
      </c>
      <c r="G21" s="180"/>
      <c r="H21" s="181"/>
      <c r="I21" s="181"/>
      <c r="J21" s="237">
        <f>+'Water Rate Design'!I18</f>
        <v>1672.89</v>
      </c>
      <c r="K21" s="237"/>
      <c r="L21" s="240">
        <f t="shared" si="1"/>
        <v>0</v>
      </c>
    </row>
    <row r="22" spans="1:105" ht="15" customHeight="1" thickBot="1">
      <c r="A22" s="172">
        <f t="shared" si="0"/>
        <v>12</v>
      </c>
      <c r="B22" s="185"/>
      <c r="C22" s="179" t="s">
        <v>217</v>
      </c>
      <c r="F22" s="187">
        <f>SUM(F12:F21)</f>
        <v>360758.5</v>
      </c>
      <c r="G22" s="175"/>
      <c r="H22" s="188"/>
      <c r="I22" s="188"/>
      <c r="J22" s="189"/>
      <c r="K22" s="189"/>
      <c r="L22" s="190">
        <f>SUM(L12:L21)</f>
        <v>5014359.66</v>
      </c>
    </row>
    <row r="23" spans="1:105" ht="13.5" thickTop="1">
      <c r="A23" s="172">
        <f t="shared" si="0"/>
        <v>13</v>
      </c>
      <c r="B23" s="185"/>
      <c r="C23" s="162" t="s">
        <v>218</v>
      </c>
      <c r="D23" s="193"/>
      <c r="E23" s="193"/>
      <c r="F23" s="193"/>
      <c r="G23" s="193"/>
      <c r="H23" s="188"/>
      <c r="I23" s="188"/>
      <c r="J23" s="189"/>
      <c r="K23" s="189"/>
      <c r="L23" s="194"/>
    </row>
    <row r="24" spans="1:105">
      <c r="A24" s="172">
        <f t="shared" si="0"/>
        <v>14</v>
      </c>
      <c r="B24" s="185"/>
      <c r="C24" s="196"/>
      <c r="D24" s="197" t="s">
        <v>259</v>
      </c>
      <c r="E24" s="197"/>
      <c r="F24" s="198"/>
      <c r="G24" s="198"/>
      <c r="H24" s="199">
        <f>+'W-Usage Summary'!AQ22</f>
        <v>1782061</v>
      </c>
      <c r="I24" s="199"/>
      <c r="J24" s="238">
        <f>+'Water Rate Design'!I40</f>
        <v>1.97</v>
      </c>
      <c r="K24" s="238"/>
      <c r="L24" s="239">
        <f>J24*H24</f>
        <v>3510660.17</v>
      </c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</row>
    <row r="25" spans="1:105">
      <c r="A25" s="172">
        <f t="shared" si="0"/>
        <v>15</v>
      </c>
      <c r="B25" s="185"/>
      <c r="C25" s="196"/>
      <c r="D25" s="201" t="s">
        <v>260</v>
      </c>
      <c r="E25" s="201"/>
      <c r="F25" s="198"/>
      <c r="G25" s="198"/>
      <c r="H25" s="199">
        <f>+'W-Usage Summary'!AQ23</f>
        <v>639915.70697060984</v>
      </c>
      <c r="I25" s="199"/>
      <c r="J25" s="238">
        <f>+'Water Rate Design'!I41</f>
        <v>2.95</v>
      </c>
      <c r="K25" s="238"/>
      <c r="L25" s="240">
        <f>+J25*H25</f>
        <v>1887751.3355632992</v>
      </c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</row>
    <row r="26" spans="1:105">
      <c r="A26" s="172">
        <f t="shared" si="0"/>
        <v>16</v>
      </c>
      <c r="B26" s="185"/>
      <c r="C26" s="196"/>
      <c r="D26" s="201" t="s">
        <v>261</v>
      </c>
      <c r="E26" s="201"/>
      <c r="F26" s="198"/>
      <c r="G26" s="198"/>
      <c r="H26" s="199">
        <f>+'W-Usage Summary'!AQ24</f>
        <v>887108.81895371026</v>
      </c>
      <c r="I26" s="199"/>
      <c r="J26" s="238">
        <f>+'Water Rate Design'!I42</f>
        <v>3.93</v>
      </c>
      <c r="K26" s="238"/>
      <c r="L26" s="240">
        <f>+J26*H26</f>
        <v>3486337.6584880813</v>
      </c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0"/>
      <c r="BN26" s="200"/>
      <c r="BO26" s="200"/>
      <c r="BP26" s="200"/>
      <c r="BQ26" s="200"/>
      <c r="BR26" s="200"/>
      <c r="BS26" s="200"/>
      <c r="BT26" s="200"/>
      <c r="BU26" s="200"/>
      <c r="BV26" s="200"/>
      <c r="BW26" s="200"/>
      <c r="BX26" s="200"/>
      <c r="BY26" s="200"/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</row>
    <row r="27" spans="1:105">
      <c r="A27" s="172">
        <f t="shared" si="0"/>
        <v>17</v>
      </c>
      <c r="B27" s="202"/>
      <c r="C27" s="179" t="s">
        <v>219</v>
      </c>
      <c r="F27" s="203"/>
      <c r="G27" s="203"/>
      <c r="H27" s="204">
        <f>SUM(H23:H26)</f>
        <v>3309085.5259243199</v>
      </c>
      <c r="I27" s="203"/>
      <c r="J27" s="182"/>
      <c r="K27" s="182"/>
      <c r="L27" s="242">
        <f>SUM(L24:L26)</f>
        <v>8884749.16405138</v>
      </c>
    </row>
    <row r="28" spans="1:105" ht="13.5" thickBot="1">
      <c r="A28" s="172">
        <f t="shared" si="0"/>
        <v>18</v>
      </c>
      <c r="B28" s="202"/>
      <c r="C28" s="205"/>
      <c r="D28" s="206" t="s">
        <v>220</v>
      </c>
      <c r="E28" s="206"/>
      <c r="F28" s="207">
        <f>F22</f>
        <v>360758.5</v>
      </c>
      <c r="G28" s="207"/>
      <c r="H28" s="191">
        <f>H27</f>
        <v>3309085.5259243199</v>
      </c>
      <c r="I28" s="191"/>
      <c r="J28" s="208"/>
      <c r="K28" s="208"/>
      <c r="L28" s="241">
        <f>L22+L27</f>
        <v>13899108.82405138</v>
      </c>
    </row>
    <row r="29" spans="1:105" ht="14.25" thickTop="1" thickBot="1">
      <c r="A29" s="172">
        <f t="shared" si="0"/>
        <v>19</v>
      </c>
      <c r="B29" s="185"/>
      <c r="C29" s="178"/>
      <c r="D29" s="206" t="s">
        <v>221</v>
      </c>
      <c r="E29" s="206"/>
      <c r="F29" s="206"/>
      <c r="G29" s="206"/>
      <c r="H29" s="188"/>
      <c r="I29" s="188"/>
      <c r="J29" s="189"/>
      <c r="K29" s="189"/>
      <c r="L29" s="209">
        <f>L28/F28</f>
        <v>38.527460403708794</v>
      </c>
    </row>
    <row r="30" spans="1:105" ht="13.5" thickTop="1">
      <c r="A30" s="172">
        <f t="shared" si="0"/>
        <v>20</v>
      </c>
      <c r="B30" s="185"/>
      <c r="C30" s="178"/>
      <c r="D30" s="206"/>
      <c r="E30" s="206"/>
      <c r="F30" s="206"/>
      <c r="G30" s="206"/>
      <c r="H30" s="188"/>
      <c r="I30" s="188"/>
      <c r="J30" s="189"/>
      <c r="K30" s="189"/>
      <c r="L30" s="182"/>
    </row>
    <row r="31" spans="1:105">
      <c r="A31" s="172">
        <f t="shared" si="0"/>
        <v>21</v>
      </c>
      <c r="B31" s="185"/>
      <c r="C31" s="210" t="s">
        <v>222</v>
      </c>
      <c r="D31" s="172"/>
      <c r="E31" s="172"/>
      <c r="F31" s="211"/>
      <c r="G31" s="211"/>
      <c r="H31" s="192"/>
      <c r="I31" s="192"/>
      <c r="J31" s="189"/>
      <c r="K31" s="189"/>
      <c r="L31" s="189"/>
    </row>
    <row r="32" spans="1:105">
      <c r="A32" s="172">
        <f t="shared" si="0"/>
        <v>22</v>
      </c>
      <c r="B32" s="185"/>
      <c r="C32" s="213"/>
      <c r="D32" s="214" t="s">
        <v>223</v>
      </c>
      <c r="E32" s="214"/>
      <c r="F32" s="180">
        <f>+'W-Bills Summary'!AA24</f>
        <v>4430</v>
      </c>
      <c r="G32" s="180"/>
      <c r="H32" s="192"/>
      <c r="I32" s="192"/>
      <c r="J32" s="237">
        <f>+'Water Rate Design'!I9</f>
        <v>11.54</v>
      </c>
      <c r="K32" s="182"/>
      <c r="L32" s="239">
        <f>+F32*J32</f>
        <v>51122.2</v>
      </c>
    </row>
    <row r="33" spans="1:13">
      <c r="A33" s="172">
        <f t="shared" si="0"/>
        <v>23</v>
      </c>
      <c r="B33" s="185"/>
      <c r="C33" s="213"/>
      <c r="D33" s="214" t="s">
        <v>224</v>
      </c>
      <c r="E33" s="214"/>
      <c r="F33" s="180">
        <f>+'W-Bills Summary'!AA25</f>
        <v>0</v>
      </c>
      <c r="G33" s="180"/>
      <c r="H33" s="192"/>
      <c r="I33" s="192"/>
      <c r="J33" s="237">
        <f>+'Water Rate Design'!I10</f>
        <v>17.309999999999999</v>
      </c>
      <c r="K33" s="182"/>
      <c r="L33" s="240">
        <f t="shared" ref="L33:L41" si="2">+F33*J33</f>
        <v>0</v>
      </c>
    </row>
    <row r="34" spans="1:13">
      <c r="A34" s="172">
        <f t="shared" si="0"/>
        <v>24</v>
      </c>
      <c r="B34" s="185"/>
      <c r="C34" s="213"/>
      <c r="D34" s="214" t="s">
        <v>225</v>
      </c>
      <c r="E34" s="214"/>
      <c r="F34" s="180">
        <f>+'W-Bills Summary'!AA26</f>
        <v>3668</v>
      </c>
      <c r="G34" s="180"/>
      <c r="H34" s="192"/>
      <c r="I34" s="192"/>
      <c r="J34" s="237">
        <f>+'Water Rate Design'!I11</f>
        <v>28.84</v>
      </c>
      <c r="K34" s="182"/>
      <c r="L34" s="240">
        <f t="shared" si="2"/>
        <v>105785.12</v>
      </c>
      <c r="M34" s="215"/>
    </row>
    <row r="35" spans="1:13">
      <c r="A35" s="172">
        <f t="shared" si="0"/>
        <v>25</v>
      </c>
      <c r="B35" s="185"/>
      <c r="C35" s="213"/>
      <c r="D35" s="214" t="s">
        <v>226</v>
      </c>
      <c r="E35" s="214"/>
      <c r="F35" s="180">
        <f>+'W-Bills Summary'!AA27</f>
        <v>2087</v>
      </c>
      <c r="G35" s="180"/>
      <c r="H35" s="192"/>
      <c r="I35" s="192"/>
      <c r="J35" s="237">
        <f>+'Water Rate Design'!I12</f>
        <v>57.69</v>
      </c>
      <c r="K35" s="182"/>
      <c r="L35" s="240">
        <f t="shared" si="2"/>
        <v>120399.03</v>
      </c>
      <c r="M35" s="215"/>
    </row>
    <row r="36" spans="1:13">
      <c r="A36" s="172">
        <f t="shared" si="0"/>
        <v>26</v>
      </c>
      <c r="B36" s="185"/>
      <c r="C36" s="178"/>
      <c r="D36" s="214" t="s">
        <v>227</v>
      </c>
      <c r="E36" s="214"/>
      <c r="F36" s="180">
        <f>+'W-Bills Summary'!AA28</f>
        <v>2031</v>
      </c>
      <c r="G36" s="180"/>
      <c r="H36" s="184"/>
      <c r="I36" s="184"/>
      <c r="J36" s="237">
        <f>+'Water Rate Design'!I13</f>
        <v>92.3</v>
      </c>
      <c r="K36" s="182"/>
      <c r="L36" s="240">
        <f t="shared" si="2"/>
        <v>187461.3</v>
      </c>
    </row>
    <row r="37" spans="1:13">
      <c r="A37" s="172">
        <f t="shared" si="0"/>
        <v>27</v>
      </c>
      <c r="B37" s="185"/>
      <c r="C37" s="178"/>
      <c r="D37" s="214" t="s">
        <v>228</v>
      </c>
      <c r="E37" s="214"/>
      <c r="F37" s="180">
        <f>+'W-Bills Summary'!AA29</f>
        <v>284</v>
      </c>
      <c r="G37" s="180"/>
      <c r="H37" s="184"/>
      <c r="I37" s="184"/>
      <c r="J37" s="237">
        <f>+'Water Rate Design'!I14</f>
        <v>184.59</v>
      </c>
      <c r="K37" s="182"/>
      <c r="L37" s="240">
        <f t="shared" si="2"/>
        <v>52423.56</v>
      </c>
    </row>
    <row r="38" spans="1:13">
      <c r="A38" s="172">
        <f t="shared" si="0"/>
        <v>28</v>
      </c>
      <c r="B38" s="185"/>
      <c r="C38" s="178"/>
      <c r="D38" s="214" t="s">
        <v>229</v>
      </c>
      <c r="E38" s="214"/>
      <c r="F38" s="180">
        <f>+'W-Bills Summary'!AA30</f>
        <v>169</v>
      </c>
      <c r="G38" s="180"/>
      <c r="H38" s="184"/>
      <c r="I38" s="184"/>
      <c r="J38" s="237">
        <f>+'Water Rate Design'!I15</f>
        <v>288.43</v>
      </c>
      <c r="K38" s="182"/>
      <c r="L38" s="240">
        <f t="shared" si="2"/>
        <v>48744.67</v>
      </c>
    </row>
    <row r="39" spans="1:13">
      <c r="A39" s="172">
        <f t="shared" si="0"/>
        <v>29</v>
      </c>
      <c r="B39" s="185"/>
      <c r="C39" s="178"/>
      <c r="D39" s="216" t="s">
        <v>230</v>
      </c>
      <c r="E39" s="216"/>
      <c r="F39" s="180">
        <f>+'W-Bills Summary'!AA31</f>
        <v>47</v>
      </c>
      <c r="G39" s="180"/>
      <c r="H39" s="184"/>
      <c r="I39" s="184"/>
      <c r="J39" s="237">
        <f>+'Water Rate Design'!I16</f>
        <v>576.86</v>
      </c>
      <c r="K39" s="182"/>
      <c r="L39" s="240">
        <f t="shared" si="2"/>
        <v>27112.420000000002</v>
      </c>
    </row>
    <row r="40" spans="1:13">
      <c r="A40" s="172">
        <f t="shared" si="0"/>
        <v>30</v>
      </c>
      <c r="B40" s="185"/>
      <c r="C40" s="178"/>
      <c r="D40" s="214" t="s">
        <v>231</v>
      </c>
      <c r="E40" s="214"/>
      <c r="F40" s="180">
        <f>+'W-Bills Summary'!AA32</f>
        <v>76</v>
      </c>
      <c r="G40" s="180"/>
      <c r="H40" s="184"/>
      <c r="I40" s="184"/>
      <c r="J40" s="237">
        <f>+'Water Rate Design'!I17</f>
        <v>922.97</v>
      </c>
      <c r="K40" s="182"/>
      <c r="L40" s="240">
        <f t="shared" si="2"/>
        <v>70145.72</v>
      </c>
    </row>
    <row r="41" spans="1:13">
      <c r="A41" s="172">
        <f t="shared" si="0"/>
        <v>31</v>
      </c>
      <c r="B41" s="185"/>
      <c r="C41" s="178"/>
      <c r="D41" s="214" t="s">
        <v>232</v>
      </c>
      <c r="E41" s="214"/>
      <c r="F41" s="180">
        <f>+'W-Bills Summary'!AA33</f>
        <v>12</v>
      </c>
      <c r="G41" s="180"/>
      <c r="H41" s="184"/>
      <c r="I41" s="184"/>
      <c r="J41" s="237">
        <f>+'Water Rate Design'!I18</f>
        <v>1672.89</v>
      </c>
      <c r="K41" s="182"/>
      <c r="L41" s="240">
        <f t="shared" si="2"/>
        <v>20074.68</v>
      </c>
    </row>
    <row r="42" spans="1:13" ht="13.5" thickBot="1">
      <c r="A42" s="172">
        <f t="shared" si="0"/>
        <v>32</v>
      </c>
      <c r="B42" s="185"/>
      <c r="C42" s="217" t="s">
        <v>233</v>
      </c>
      <c r="F42" s="207">
        <f>SUM(F32:F41)</f>
        <v>12804</v>
      </c>
      <c r="G42" s="203"/>
      <c r="H42" s="192"/>
      <c r="I42" s="192"/>
      <c r="J42" s="182"/>
      <c r="K42" s="182"/>
      <c r="L42" s="242">
        <f>SUM(L32:L41)</f>
        <v>683268.70000000007</v>
      </c>
    </row>
    <row r="43" spans="1:13" ht="13.5" thickTop="1">
      <c r="A43" s="172">
        <f t="shared" si="0"/>
        <v>33</v>
      </c>
      <c r="B43" s="185"/>
      <c r="C43" s="162" t="s">
        <v>218</v>
      </c>
      <c r="D43" s="193"/>
      <c r="E43" s="193"/>
      <c r="F43" s="195"/>
      <c r="G43" s="195"/>
      <c r="H43" s="192"/>
      <c r="I43" s="192"/>
      <c r="J43" s="189"/>
      <c r="K43" s="189"/>
      <c r="L43" s="194"/>
    </row>
    <row r="44" spans="1:13">
      <c r="A44" s="172">
        <f t="shared" si="0"/>
        <v>34</v>
      </c>
      <c r="B44" s="185"/>
      <c r="C44" s="178"/>
      <c r="D44" s="217" t="s">
        <v>263</v>
      </c>
      <c r="E44" s="217"/>
      <c r="F44" s="195"/>
      <c r="G44" s="195"/>
      <c r="H44" s="192">
        <f>+'W-Usage Summary'!AU18</f>
        <v>563590</v>
      </c>
      <c r="I44" s="192"/>
      <c r="J44" s="237">
        <f>+'Water Rate Design'!I45</f>
        <v>2.98</v>
      </c>
      <c r="K44" s="182"/>
      <c r="L44" s="239">
        <f>J44*H44</f>
        <v>1679498.2</v>
      </c>
    </row>
    <row r="45" spans="1:13">
      <c r="A45" s="172">
        <f t="shared" si="0"/>
        <v>35</v>
      </c>
      <c r="B45" s="185"/>
      <c r="C45" s="178"/>
      <c r="D45" s="218" t="s">
        <v>234</v>
      </c>
      <c r="E45" s="218"/>
      <c r="F45" s="180"/>
      <c r="G45" s="180"/>
      <c r="H45" s="192"/>
      <c r="I45" s="192"/>
      <c r="J45" s="182"/>
      <c r="K45" s="182"/>
      <c r="L45" s="242">
        <f>SUM(L44:L44)</f>
        <v>1679498.2</v>
      </c>
    </row>
    <row r="46" spans="1:13" ht="13.5" thickBot="1">
      <c r="A46" s="172">
        <f t="shared" si="0"/>
        <v>36</v>
      </c>
      <c r="B46" s="185"/>
      <c r="C46" s="205"/>
      <c r="D46" s="218" t="s">
        <v>235</v>
      </c>
      <c r="E46" s="218"/>
      <c r="F46" s="219">
        <f>F42</f>
        <v>12804</v>
      </c>
      <c r="G46" s="219"/>
      <c r="H46" s="191">
        <f>SUM(H44)</f>
        <v>563590</v>
      </c>
      <c r="I46" s="191"/>
      <c r="J46" s="208"/>
      <c r="K46" s="208"/>
      <c r="L46" s="241">
        <f>L45+L42</f>
        <v>2362766.9</v>
      </c>
    </row>
    <row r="47" spans="1:13" ht="14.25" thickTop="1" thickBot="1">
      <c r="A47" s="172">
        <f t="shared" si="0"/>
        <v>37</v>
      </c>
      <c r="B47" s="185"/>
      <c r="C47" s="175"/>
      <c r="D47" s="218" t="s">
        <v>236</v>
      </c>
      <c r="E47" s="218"/>
      <c r="F47" s="195"/>
      <c r="G47" s="195"/>
      <c r="H47" s="192"/>
      <c r="I47" s="192"/>
      <c r="J47" s="189"/>
      <c r="K47" s="189"/>
      <c r="L47" s="209">
        <f>L46/F46</f>
        <v>184.53349734457981</v>
      </c>
    </row>
    <row r="48" spans="1:13" ht="13.5" thickTop="1">
      <c r="A48" s="172">
        <f t="shared" si="0"/>
        <v>38</v>
      </c>
      <c r="B48" s="185"/>
      <c r="C48" s="175"/>
      <c r="D48" s="218"/>
      <c r="E48" s="218"/>
      <c r="F48" s="195"/>
      <c r="G48" s="195"/>
      <c r="H48" s="192"/>
      <c r="I48" s="192"/>
      <c r="J48" s="189"/>
      <c r="K48" s="189"/>
      <c r="L48" s="182"/>
    </row>
    <row r="49" spans="1:13">
      <c r="A49" s="172">
        <f t="shared" si="0"/>
        <v>39</v>
      </c>
      <c r="B49" s="185"/>
      <c r="C49" s="210" t="s">
        <v>237</v>
      </c>
      <c r="D49" s="222"/>
      <c r="E49" s="222"/>
      <c r="F49" s="195"/>
      <c r="G49" s="195"/>
      <c r="H49" s="192"/>
      <c r="I49" s="192"/>
      <c r="J49" s="189"/>
      <c r="K49" s="189"/>
      <c r="L49" s="182"/>
      <c r="M49" s="223"/>
    </row>
    <row r="50" spans="1:13">
      <c r="A50" s="172">
        <f t="shared" si="0"/>
        <v>40</v>
      </c>
      <c r="B50" s="173"/>
      <c r="C50" s="213"/>
      <c r="D50" s="193" t="s">
        <v>238</v>
      </c>
      <c r="E50" s="193"/>
      <c r="F50" s="195"/>
      <c r="G50" s="195"/>
      <c r="H50" s="192"/>
      <c r="I50" s="192"/>
      <c r="J50" s="182">
        <f>+J38</f>
        <v>288.43</v>
      </c>
      <c r="K50" s="182"/>
      <c r="L50" s="239">
        <f>+F50*J50</f>
        <v>0</v>
      </c>
      <c r="M50" s="223"/>
    </row>
    <row r="51" spans="1:13">
      <c r="A51" s="172">
        <f t="shared" si="0"/>
        <v>41</v>
      </c>
      <c r="B51" s="212">
        <v>68006</v>
      </c>
      <c r="C51" s="213"/>
      <c r="D51" s="193" t="s">
        <v>239</v>
      </c>
      <c r="E51" s="193"/>
      <c r="F51" s="195"/>
      <c r="G51" s="195"/>
      <c r="H51" s="192"/>
      <c r="I51" s="192"/>
      <c r="J51" s="182">
        <f>+J40</f>
        <v>922.97</v>
      </c>
      <c r="K51" s="182"/>
      <c r="L51" s="240">
        <f t="shared" ref="L51" si="3">+F51*J51</f>
        <v>0</v>
      </c>
      <c r="M51" s="223"/>
    </row>
    <row r="52" spans="1:13" ht="13.5" thickBot="1">
      <c r="A52" s="172">
        <f t="shared" si="0"/>
        <v>42</v>
      </c>
      <c r="B52" s="212">
        <v>68006</v>
      </c>
      <c r="C52" s="217" t="s">
        <v>240</v>
      </c>
      <c r="D52" s="224"/>
      <c r="E52" s="224"/>
      <c r="F52" s="207">
        <f>SUM(F50:F51)</f>
        <v>0</v>
      </c>
      <c r="G52" s="203"/>
      <c r="H52" s="192"/>
      <c r="I52" s="192"/>
      <c r="J52" s="189"/>
      <c r="K52" s="189"/>
      <c r="L52" s="190">
        <f>SUM(L50:L51)</f>
        <v>0</v>
      </c>
      <c r="M52" s="223"/>
    </row>
    <row r="53" spans="1:13" s="215" customFormat="1" ht="13.5" thickTop="1">
      <c r="A53" s="172">
        <f t="shared" si="0"/>
        <v>43</v>
      </c>
      <c r="B53" s="212">
        <v>68007</v>
      </c>
      <c r="C53" s="175"/>
      <c r="D53" s="218"/>
      <c r="E53" s="218"/>
      <c r="F53" s="195"/>
      <c r="G53" s="195"/>
      <c r="H53" s="192"/>
      <c r="I53" s="192"/>
      <c r="J53" s="189"/>
      <c r="K53" s="189"/>
      <c r="L53" s="182"/>
      <c r="M53" s="223"/>
    </row>
    <row r="54" spans="1:13" s="215" customFormat="1">
      <c r="A54" s="172">
        <f t="shared" si="0"/>
        <v>44</v>
      </c>
      <c r="B54" s="212">
        <v>68008</v>
      </c>
      <c r="C54" s="159" t="s">
        <v>218</v>
      </c>
      <c r="D54" s="193"/>
      <c r="E54" s="193"/>
      <c r="F54" s="195"/>
      <c r="G54" s="195"/>
      <c r="H54" s="192"/>
      <c r="I54" s="192"/>
      <c r="J54" s="189"/>
      <c r="K54" s="189"/>
      <c r="L54" s="182"/>
      <c r="M54" s="223"/>
    </row>
    <row r="55" spans="1:13">
      <c r="A55" s="172">
        <f t="shared" si="0"/>
        <v>45</v>
      </c>
      <c r="B55" s="185">
        <v>68009</v>
      </c>
      <c r="C55" s="213"/>
      <c r="D55" s="193" t="s">
        <v>238</v>
      </c>
      <c r="E55" s="193"/>
      <c r="F55" s="195"/>
      <c r="G55" s="195"/>
      <c r="H55" s="195"/>
      <c r="I55" s="195"/>
      <c r="J55" s="182">
        <v>3.2</v>
      </c>
      <c r="K55" s="182"/>
      <c r="L55" s="239">
        <f>+F55*J55</f>
        <v>0</v>
      </c>
      <c r="M55" s="223"/>
    </row>
    <row r="56" spans="1:13">
      <c r="A56" s="172">
        <f t="shared" si="0"/>
        <v>46</v>
      </c>
      <c r="B56" s="185">
        <v>68005</v>
      </c>
      <c r="C56" s="213"/>
      <c r="D56" s="193" t="s">
        <v>239</v>
      </c>
      <c r="E56" s="193"/>
      <c r="F56" s="195"/>
      <c r="G56" s="195"/>
      <c r="H56" s="195"/>
      <c r="I56" s="195"/>
      <c r="J56" s="182">
        <v>3.2</v>
      </c>
      <c r="K56" s="182"/>
      <c r="L56" s="240">
        <f t="shared" ref="L56" si="4">+F56*J56</f>
        <v>0</v>
      </c>
      <c r="M56" s="223"/>
    </row>
    <row r="57" spans="1:13">
      <c r="A57" s="172">
        <f t="shared" si="0"/>
        <v>47</v>
      </c>
      <c r="B57" s="185">
        <v>68016</v>
      </c>
      <c r="C57" s="217" t="s">
        <v>241</v>
      </c>
      <c r="D57" s="224"/>
      <c r="E57" s="224"/>
      <c r="F57" s="211"/>
      <c r="G57" s="211"/>
      <c r="H57" s="225">
        <f>SUM(H48:H56)</f>
        <v>0</v>
      </c>
      <c r="I57" s="192"/>
      <c r="J57" s="189"/>
      <c r="K57" s="189"/>
      <c r="L57" s="242">
        <f>SUM(L54:L56)</f>
        <v>0</v>
      </c>
      <c r="M57" s="223"/>
    </row>
    <row r="58" spans="1:13" ht="13.5" thickBot="1">
      <c r="A58" s="172">
        <f t="shared" si="0"/>
        <v>48</v>
      </c>
      <c r="B58" s="185">
        <v>68017</v>
      </c>
      <c r="C58" s="223"/>
      <c r="D58" s="218" t="s">
        <v>242</v>
      </c>
      <c r="E58" s="218"/>
      <c r="F58" s="219">
        <f>+F52</f>
        <v>0</v>
      </c>
      <c r="G58" s="219"/>
      <c r="H58" s="191">
        <f>H57</f>
        <v>0</v>
      </c>
      <c r="I58" s="191"/>
      <c r="J58" s="208"/>
      <c r="K58" s="208"/>
      <c r="L58" s="220">
        <f>+L52+L57</f>
        <v>0</v>
      </c>
      <c r="M58" s="223"/>
    </row>
    <row r="59" spans="1:13" ht="14.25" thickTop="1" thickBot="1">
      <c r="A59" s="172">
        <f t="shared" si="0"/>
        <v>49</v>
      </c>
      <c r="B59" s="185"/>
      <c r="C59" s="224" t="s">
        <v>243</v>
      </c>
      <c r="D59" s="224"/>
      <c r="E59" s="224"/>
      <c r="F59" s="195"/>
      <c r="G59" s="195"/>
      <c r="H59" s="192"/>
      <c r="I59" s="192"/>
      <c r="J59" s="189"/>
      <c r="K59" s="189"/>
      <c r="L59" s="209"/>
      <c r="M59" s="223"/>
    </row>
    <row r="60" spans="1:13" ht="13.5" thickTop="1">
      <c r="A60" s="172">
        <f t="shared" si="0"/>
        <v>50</v>
      </c>
      <c r="B60" s="185">
        <v>68017</v>
      </c>
      <c r="C60" s="175"/>
      <c r="D60" s="218"/>
      <c r="E60" s="218"/>
      <c r="F60" s="195"/>
      <c r="G60" s="195"/>
      <c r="H60" s="192"/>
      <c r="I60" s="192"/>
      <c r="J60" s="189"/>
      <c r="K60" s="189"/>
      <c r="L60" s="182"/>
    </row>
    <row r="61" spans="1:13">
      <c r="A61" s="172">
        <f t="shared" si="0"/>
        <v>51</v>
      </c>
      <c r="B61" s="185"/>
      <c r="C61" s="174" t="s">
        <v>244</v>
      </c>
      <c r="D61" s="176"/>
      <c r="E61" s="176"/>
      <c r="F61" s="195"/>
      <c r="G61" s="195"/>
      <c r="H61" s="227"/>
      <c r="I61" s="227"/>
      <c r="J61" s="228"/>
      <c r="K61" s="228"/>
      <c r="L61" s="189"/>
    </row>
    <row r="62" spans="1:13">
      <c r="A62" s="172">
        <f t="shared" si="0"/>
        <v>52</v>
      </c>
      <c r="B62" s="185"/>
      <c r="C62" s="213"/>
      <c r="D62" s="229" t="s">
        <v>245</v>
      </c>
      <c r="E62" s="229"/>
      <c r="F62" s="192">
        <f>+'W-Bills Summary'!AA43</f>
        <v>24</v>
      </c>
      <c r="G62" s="192"/>
      <c r="H62" s="227"/>
      <c r="I62" s="227"/>
      <c r="J62" s="237">
        <f>+'Water Rate Design'!I25</f>
        <v>2.2599999999999998</v>
      </c>
      <c r="K62" s="182"/>
      <c r="L62" s="239">
        <f>+F62*J62</f>
        <v>54.239999999999995</v>
      </c>
    </row>
    <row r="63" spans="1:13">
      <c r="A63" s="172">
        <f t="shared" si="0"/>
        <v>53</v>
      </c>
      <c r="B63" s="185">
        <v>68017</v>
      </c>
      <c r="C63" s="213"/>
      <c r="D63" s="229" t="s">
        <v>246</v>
      </c>
      <c r="E63" s="229"/>
      <c r="F63" s="192">
        <f>+'W-Bills Summary'!AA44</f>
        <v>156</v>
      </c>
      <c r="G63" s="192"/>
      <c r="H63" s="227"/>
      <c r="I63" s="227"/>
      <c r="J63" s="237">
        <f>+'Water Rate Design'!I26</f>
        <v>3.61</v>
      </c>
      <c r="K63" s="182"/>
      <c r="L63" s="240">
        <f t="shared" ref="L63:L68" si="5">+F63*J63</f>
        <v>563.16</v>
      </c>
    </row>
    <row r="64" spans="1:13">
      <c r="A64" s="172">
        <f t="shared" si="0"/>
        <v>54</v>
      </c>
      <c r="B64" s="185"/>
      <c r="C64" s="213"/>
      <c r="D64" s="229" t="s">
        <v>247</v>
      </c>
      <c r="E64" s="229"/>
      <c r="F64" s="192">
        <f>+'W-Bills Summary'!AA45</f>
        <v>276</v>
      </c>
      <c r="G64" s="192"/>
      <c r="H64" s="227"/>
      <c r="I64" s="227"/>
      <c r="J64" s="237">
        <f>+'Water Rate Design'!I27</f>
        <v>11.29</v>
      </c>
      <c r="K64" s="182"/>
      <c r="L64" s="240">
        <f t="shared" si="5"/>
        <v>3116.04</v>
      </c>
    </row>
    <row r="65" spans="1:13">
      <c r="A65" s="172">
        <f t="shared" si="0"/>
        <v>55</v>
      </c>
      <c r="B65" s="202"/>
      <c r="C65" s="178"/>
      <c r="D65" s="229" t="s">
        <v>248</v>
      </c>
      <c r="E65" s="229"/>
      <c r="F65" s="192">
        <f>+'W-Bills Summary'!AA46</f>
        <v>360</v>
      </c>
      <c r="G65" s="192"/>
      <c r="H65" s="227"/>
      <c r="I65" s="227"/>
      <c r="J65" s="237">
        <f>+'Water Rate Design'!I28</f>
        <v>22.59</v>
      </c>
      <c r="K65" s="182"/>
      <c r="L65" s="240">
        <f t="shared" si="5"/>
        <v>8132.4</v>
      </c>
    </row>
    <row r="66" spans="1:13">
      <c r="A66" s="172">
        <f t="shared" si="0"/>
        <v>56</v>
      </c>
      <c r="B66" s="175"/>
      <c r="C66" s="178"/>
      <c r="D66" s="229" t="s">
        <v>249</v>
      </c>
      <c r="E66" s="229"/>
      <c r="F66" s="192">
        <f>+'W-Bills Summary'!AA47</f>
        <v>60</v>
      </c>
      <c r="G66" s="192"/>
      <c r="H66" s="227"/>
      <c r="I66" s="227"/>
      <c r="J66" s="237">
        <f>+'Water Rate Design'!I29</f>
        <v>36.14</v>
      </c>
      <c r="K66" s="182"/>
      <c r="L66" s="240">
        <f t="shared" si="5"/>
        <v>2168.4</v>
      </c>
    </row>
    <row r="67" spans="1:13">
      <c r="A67" s="172">
        <f t="shared" si="0"/>
        <v>57</v>
      </c>
      <c r="B67" s="175"/>
      <c r="C67" s="178"/>
      <c r="D67" s="229" t="s">
        <v>250</v>
      </c>
      <c r="E67" s="229"/>
      <c r="F67" s="192">
        <f>+'W-Bills Summary'!AA48</f>
        <v>0</v>
      </c>
      <c r="G67" s="192"/>
      <c r="H67" s="227"/>
      <c r="I67" s="227"/>
      <c r="J67" s="237">
        <f>+'Water Rate Design'!I30</f>
        <v>51.95</v>
      </c>
      <c r="K67" s="182"/>
      <c r="L67" s="240">
        <f t="shared" si="5"/>
        <v>0</v>
      </c>
    </row>
    <row r="68" spans="1:13" s="223" customFormat="1">
      <c r="A68" s="172">
        <f t="shared" si="0"/>
        <v>58</v>
      </c>
      <c r="B68" s="175"/>
      <c r="C68" s="178"/>
      <c r="D68" s="229" t="s">
        <v>251</v>
      </c>
      <c r="E68" s="229"/>
      <c r="F68" s="192">
        <f>+'W-Bills Summary'!AA49</f>
        <v>0</v>
      </c>
      <c r="G68" s="192"/>
      <c r="H68" s="227"/>
      <c r="I68" s="227"/>
      <c r="J68" s="237">
        <f>+'Water Rate Design'!I31</f>
        <v>97.12</v>
      </c>
      <c r="K68" s="182"/>
      <c r="L68" s="240">
        <f t="shared" si="5"/>
        <v>0</v>
      </c>
      <c r="M68" s="177"/>
    </row>
    <row r="69" spans="1:13" s="223" customFormat="1" ht="13.5" thickBot="1">
      <c r="A69" s="172">
        <f t="shared" si="0"/>
        <v>59</v>
      </c>
      <c r="B69" s="175"/>
      <c r="C69" s="178"/>
      <c r="D69" s="229"/>
      <c r="E69" s="229"/>
      <c r="F69" s="230">
        <f>SUM(F62:F68)</f>
        <v>876</v>
      </c>
      <c r="G69" s="230"/>
      <c r="H69" s="221"/>
      <c r="I69" s="221"/>
      <c r="J69" s="208"/>
      <c r="K69" s="208"/>
      <c r="L69" s="241">
        <f>SUM(L62:L68)</f>
        <v>14034.24</v>
      </c>
      <c r="M69" s="177"/>
    </row>
    <row r="70" spans="1:13" s="223" customFormat="1" ht="13.5" thickTop="1">
      <c r="A70" s="172">
        <f t="shared" si="0"/>
        <v>60</v>
      </c>
      <c r="B70" s="175"/>
      <c r="C70" s="231" t="s">
        <v>252</v>
      </c>
      <c r="D70" s="186"/>
      <c r="E70" s="186"/>
      <c r="F70" s="232"/>
      <c r="G70" s="232"/>
      <c r="H70" s="176"/>
      <c r="I70" s="176"/>
      <c r="J70" s="228"/>
      <c r="K70" s="228"/>
      <c r="L70" s="239">
        <f>+'W-Revenue Summary'!AA61</f>
        <v>93896</v>
      </c>
      <c r="M70" s="177"/>
    </row>
    <row r="71" spans="1:13" s="223" customFormat="1">
      <c r="A71" s="172">
        <f t="shared" si="0"/>
        <v>61</v>
      </c>
      <c r="B71" s="175"/>
      <c r="C71" s="232" t="s">
        <v>253</v>
      </c>
      <c r="D71" s="186"/>
      <c r="E71" s="186"/>
      <c r="F71" s="232"/>
      <c r="G71" s="232"/>
      <c r="H71" s="176"/>
      <c r="I71" s="176"/>
      <c r="J71" s="228"/>
      <c r="K71" s="228"/>
      <c r="L71" s="194"/>
      <c r="M71" s="177"/>
    </row>
    <row r="72" spans="1:13" s="223" customFormat="1" ht="13.5" thickBot="1">
      <c r="A72" s="172">
        <f t="shared" si="0"/>
        <v>62</v>
      </c>
      <c r="B72" s="175"/>
      <c r="C72" s="226"/>
      <c r="D72" s="186"/>
      <c r="E72" s="186"/>
      <c r="F72" s="226"/>
      <c r="G72" s="226"/>
      <c r="H72" s="233" t="s">
        <v>254</v>
      </c>
      <c r="I72" s="233"/>
      <c r="J72" s="234"/>
      <c r="K72" s="234"/>
      <c r="L72" s="220">
        <f>+L70+L71</f>
        <v>93896</v>
      </c>
      <c r="M72" s="177"/>
    </row>
    <row r="73" spans="1:13" s="223" customFormat="1" ht="14.25" thickTop="1" thickBot="1">
      <c r="A73" s="172">
        <f t="shared" si="0"/>
        <v>63</v>
      </c>
      <c r="B73" s="175"/>
      <c r="C73" s="226" t="s">
        <v>255</v>
      </c>
      <c r="D73" s="186"/>
      <c r="E73" s="186"/>
      <c r="F73" s="226"/>
      <c r="G73" s="226"/>
      <c r="H73" s="232"/>
      <c r="I73" s="232"/>
      <c r="J73" s="234"/>
      <c r="K73" s="234"/>
      <c r="L73" s="245">
        <f>+L72+L69+L58+L46+L28</f>
        <v>16369805.964051381</v>
      </c>
      <c r="M73" s="177"/>
    </row>
    <row r="74" spans="1:13" s="223" customFormat="1" ht="13.5" thickTop="1">
      <c r="A74" s="172">
        <f t="shared" si="0"/>
        <v>64</v>
      </c>
      <c r="B74" s="175"/>
      <c r="C74" s="226"/>
      <c r="D74" s="186"/>
      <c r="E74" s="186"/>
      <c r="F74" s="226"/>
      <c r="G74" s="226"/>
      <c r="H74" s="232"/>
      <c r="I74" s="232"/>
      <c r="J74" s="234"/>
      <c r="K74" s="234"/>
      <c r="L74" s="183"/>
      <c r="M74" s="177"/>
    </row>
    <row r="75" spans="1:13" s="223" customFormat="1">
      <c r="A75" s="172">
        <f t="shared" si="0"/>
        <v>65</v>
      </c>
      <c r="B75" s="175"/>
      <c r="C75" s="226" t="s">
        <v>168</v>
      </c>
      <c r="D75" s="186"/>
      <c r="E75" s="186"/>
      <c r="F75" s="226"/>
      <c r="G75" s="226"/>
      <c r="H75" s="235"/>
      <c r="I75" s="235"/>
      <c r="J75" s="234"/>
      <c r="K75" s="234"/>
      <c r="L75" s="269">
        <f>+'W-Revenue Summary'!AE62</f>
        <v>16370621</v>
      </c>
      <c r="M75" s="177"/>
    </row>
    <row r="76" spans="1:13" ht="13.5" thickBot="1">
      <c r="A76" s="172">
        <f t="shared" si="0"/>
        <v>66</v>
      </c>
      <c r="B76" s="175"/>
      <c r="C76" s="185" t="s">
        <v>181</v>
      </c>
      <c r="F76" s="185"/>
      <c r="G76" s="185"/>
      <c r="H76" s="235"/>
      <c r="I76" s="235"/>
      <c r="J76" s="234"/>
      <c r="K76" s="234"/>
      <c r="L76" s="245">
        <f>+L73-L75</f>
        <v>-815.03594861924648</v>
      </c>
    </row>
    <row r="77" spans="1:13" ht="13.5" thickTop="1"/>
  </sheetData>
  <mergeCells count="7">
    <mergeCell ref="A6:D6"/>
    <mergeCell ref="A7:L7"/>
    <mergeCell ref="A1:F1"/>
    <mergeCell ref="A2:D2"/>
    <mergeCell ref="A3:D3"/>
    <mergeCell ref="A4:D4"/>
    <mergeCell ref="A5:D5"/>
  </mergeCells>
  <printOptions horizontalCentered="1"/>
  <pageMargins left="0.75" right="0.25" top="0.5" bottom="0.25" header="0.5" footer="0.5"/>
  <pageSetup scale="74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zoomScaleNormal="100" workbookViewId="0">
      <selection activeCell="T8" sqref="T8"/>
    </sheetView>
  </sheetViews>
  <sheetFormatPr defaultRowHeight="15"/>
  <cols>
    <col min="1" max="1" width="11.28515625" style="252" customWidth="1"/>
    <col min="2" max="2" width="2.28515625" style="252" customWidth="1"/>
    <col min="3" max="3" width="11.140625" style="252" bestFit="1" customWidth="1"/>
    <col min="4" max="4" width="2.28515625" style="252" customWidth="1"/>
    <col min="5" max="5" width="11.28515625" style="252" bestFit="1" customWidth="1"/>
    <col min="6" max="6" width="2.28515625" style="252" customWidth="1"/>
    <col min="7" max="7" width="10" style="252" customWidth="1"/>
    <col min="8" max="8" width="2.28515625" style="252" customWidth="1"/>
    <col min="9" max="9" width="10.7109375" style="252" bestFit="1" customWidth="1"/>
    <col min="10" max="10" width="2.28515625" style="252" customWidth="1"/>
    <col min="11" max="11" width="10" style="252" customWidth="1"/>
    <col min="12" max="12" width="2.28515625" style="252" customWidth="1"/>
    <col min="13" max="13" width="11.5703125" style="252" bestFit="1" customWidth="1"/>
    <col min="14" max="14" width="2.28515625" style="252" customWidth="1"/>
    <col min="15" max="15" width="10.7109375" style="252" bestFit="1" customWidth="1"/>
    <col min="16" max="16" width="2.28515625" style="252" customWidth="1"/>
    <col min="17" max="17" width="10" style="252" customWidth="1"/>
    <col min="18" max="16384" width="9.140625" style="252"/>
  </cols>
  <sheetData>
    <row r="1" spans="1:21" ht="15.75">
      <c r="A1" s="251" t="s">
        <v>307</v>
      </c>
      <c r="B1" s="251"/>
      <c r="C1" s="251"/>
      <c r="Q1" s="74" t="str">
        <f>+'Water Rate Design'!$K$1</f>
        <v>Docket No. 160101 -WS</v>
      </c>
    </row>
    <row r="2" spans="1:21" ht="15.75">
      <c r="A2" s="253" t="s">
        <v>273</v>
      </c>
      <c r="B2" s="253"/>
      <c r="C2" s="253"/>
      <c r="Q2" s="74" t="str">
        <f>+'Water Rate Design'!$K$2</f>
        <v>Exhibit JFG-Rate Design</v>
      </c>
    </row>
    <row r="3" spans="1:21" ht="15.75">
      <c r="A3" s="253" t="s">
        <v>306</v>
      </c>
      <c r="B3" s="253"/>
      <c r="C3" s="253"/>
      <c r="Q3" s="74" t="s">
        <v>323</v>
      </c>
    </row>
    <row r="4" spans="1:21">
      <c r="A4" s="253" t="s">
        <v>318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</row>
    <row r="5" spans="1:21">
      <c r="A5" s="253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</row>
    <row r="6" spans="1:21">
      <c r="A6" s="254"/>
      <c r="B6" s="254"/>
      <c r="C6" s="254" t="s">
        <v>179</v>
      </c>
      <c r="D6" s="253"/>
      <c r="E6" s="296" t="s">
        <v>274</v>
      </c>
      <c r="F6" s="296"/>
      <c r="G6" s="296"/>
      <c r="H6" s="254"/>
      <c r="I6" s="296" t="s">
        <v>163</v>
      </c>
      <c r="J6" s="296"/>
      <c r="K6" s="296"/>
      <c r="L6" s="254"/>
      <c r="M6" s="254" t="s">
        <v>275</v>
      </c>
      <c r="N6" s="253"/>
      <c r="O6" s="297" t="s">
        <v>183</v>
      </c>
      <c r="P6" s="297"/>
      <c r="Q6" s="297"/>
    </row>
    <row r="7" spans="1:21">
      <c r="A7" s="254" t="s">
        <v>24</v>
      </c>
      <c r="B7" s="254"/>
      <c r="C7" s="255" t="s">
        <v>276</v>
      </c>
      <c r="D7" s="253"/>
      <c r="E7" s="295" t="s">
        <v>277</v>
      </c>
      <c r="F7" s="295"/>
      <c r="G7" s="295"/>
      <c r="H7" s="254"/>
      <c r="I7" s="295" t="s">
        <v>277</v>
      </c>
      <c r="J7" s="295"/>
      <c r="K7" s="295"/>
      <c r="L7" s="254"/>
      <c r="M7" s="255" t="s">
        <v>277</v>
      </c>
      <c r="N7" s="253"/>
      <c r="O7" s="295" t="s">
        <v>278</v>
      </c>
      <c r="P7" s="295"/>
      <c r="Q7" s="295"/>
    </row>
    <row r="8" spans="1:21"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</row>
    <row r="9" spans="1:21">
      <c r="A9" s="253" t="s">
        <v>279</v>
      </c>
      <c r="B9" s="253"/>
      <c r="C9" s="254" t="s">
        <v>280</v>
      </c>
      <c r="D9" s="253"/>
      <c r="E9" s="256">
        <v>290271</v>
      </c>
      <c r="F9" s="257"/>
      <c r="G9" s="258">
        <f>+E9/E$13</f>
        <v>0.23334769627522828</v>
      </c>
      <c r="H9" s="253"/>
      <c r="I9" s="256">
        <v>71773</v>
      </c>
      <c r="J9" s="257"/>
      <c r="K9" s="258">
        <f>+I9/I$13</f>
        <v>0.5983327080988704</v>
      </c>
      <c r="L9" s="253"/>
      <c r="M9" s="259">
        <f>+E9/I9</f>
        <v>4.0442924219413987</v>
      </c>
      <c r="N9" s="253"/>
      <c r="O9" s="256">
        <f>+'W-Usage Summary'!L22</f>
        <v>675727</v>
      </c>
      <c r="P9" s="258"/>
      <c r="Q9" s="258">
        <f>+O9/O$13</f>
        <v>0.54321423346104558</v>
      </c>
      <c r="T9" s="252">
        <v>75</v>
      </c>
      <c r="U9" s="252" t="s">
        <v>281</v>
      </c>
    </row>
    <row r="10" spans="1:21">
      <c r="A10" s="253" t="s">
        <v>282</v>
      </c>
      <c r="B10" s="253"/>
      <c r="C10" s="254" t="s">
        <v>283</v>
      </c>
      <c r="D10" s="253"/>
      <c r="E10" s="256">
        <f>587605-E9</f>
        <v>297334</v>
      </c>
      <c r="F10" s="257"/>
      <c r="G10" s="258">
        <f>+E10/E$13</f>
        <v>0.2390256137344024</v>
      </c>
      <c r="H10" s="253"/>
      <c r="I10" s="256">
        <f>96645-I9</f>
        <v>24872</v>
      </c>
      <c r="J10" s="257"/>
      <c r="K10" s="258">
        <f>+I10/I$13</f>
        <v>0.20734442082447585</v>
      </c>
      <c r="L10" s="253"/>
      <c r="M10" s="259">
        <f>+E10/I10</f>
        <v>11.954567385011257</v>
      </c>
      <c r="N10" s="253"/>
      <c r="O10" s="256">
        <f>+'W-Usage Summary'!L23</f>
        <v>284838</v>
      </c>
      <c r="P10" s="253"/>
      <c r="Q10" s="258">
        <f>+O10/O$13</f>
        <v>0.2289801292986329</v>
      </c>
      <c r="T10" s="252">
        <v>3.5</v>
      </c>
      <c r="U10" s="252" t="s">
        <v>284</v>
      </c>
    </row>
    <row r="11" spans="1:21">
      <c r="A11" s="253" t="s">
        <v>285</v>
      </c>
      <c r="B11" s="253"/>
      <c r="C11" s="254" t="s">
        <v>286</v>
      </c>
      <c r="D11" s="253"/>
      <c r="E11" s="256">
        <f>1243942-E10-E9</f>
        <v>656337</v>
      </c>
      <c r="F11" s="257"/>
      <c r="G11" s="258">
        <f>+E11/E$13</f>
        <v>0.52762668999036932</v>
      </c>
      <c r="H11" s="253"/>
      <c r="I11" s="256">
        <f>119955-I10-I9</f>
        <v>23310</v>
      </c>
      <c r="J11" s="257"/>
      <c r="K11" s="258">
        <f>+I11/I$13</f>
        <v>0.19432287107665375</v>
      </c>
      <c r="L11" s="253"/>
      <c r="M11" s="259">
        <f>+E11/I11</f>
        <v>28.156885456885458</v>
      </c>
      <c r="N11" s="253"/>
      <c r="O11" s="256">
        <f>+'W-Usage Summary'!L24</f>
        <v>283377</v>
      </c>
      <c r="P11" s="253"/>
      <c r="Q11" s="258">
        <f>+O11/O$13</f>
        <v>0.22780563724032149</v>
      </c>
      <c r="T11" s="252">
        <f>+T10*T9</f>
        <v>262.5</v>
      </c>
      <c r="U11" s="252" t="s">
        <v>287</v>
      </c>
    </row>
    <row r="12" spans="1:21">
      <c r="A12" s="253"/>
      <c r="B12" s="253"/>
      <c r="C12" s="253"/>
      <c r="D12" s="253"/>
      <c r="E12" s="256"/>
      <c r="F12" s="253"/>
      <c r="G12" s="253"/>
      <c r="H12" s="253"/>
      <c r="I12" s="256"/>
      <c r="J12" s="253"/>
      <c r="K12" s="253"/>
      <c r="L12" s="253"/>
      <c r="M12" s="253"/>
      <c r="N12" s="253"/>
      <c r="O12" s="256"/>
      <c r="P12" s="253"/>
      <c r="Q12" s="253"/>
      <c r="T12" s="252">
        <f>+T11*30</f>
        <v>7875</v>
      </c>
      <c r="U12" s="252" t="s">
        <v>288</v>
      </c>
    </row>
    <row r="13" spans="1:21">
      <c r="A13" s="253" t="s">
        <v>289</v>
      </c>
      <c r="B13" s="253"/>
      <c r="C13" s="253"/>
      <c r="D13" s="253"/>
      <c r="E13" s="256">
        <f>SUM(E9:E12)</f>
        <v>1243942</v>
      </c>
      <c r="F13" s="257"/>
      <c r="G13" s="258">
        <f>SUM(G9:G12)</f>
        <v>1</v>
      </c>
      <c r="H13" s="253"/>
      <c r="I13" s="256">
        <f>SUM(I9:I12)</f>
        <v>119955</v>
      </c>
      <c r="J13" s="257"/>
      <c r="K13" s="258">
        <f>SUM(K9:K12)</f>
        <v>1</v>
      </c>
      <c r="L13" s="253"/>
      <c r="M13" s="259">
        <f>+E13/I13</f>
        <v>10.370072110374723</v>
      </c>
      <c r="N13" s="253"/>
      <c r="O13" s="256">
        <f>SUM(O9:O12)</f>
        <v>1243942</v>
      </c>
      <c r="P13" s="253"/>
      <c r="Q13" s="258">
        <f>SUM(Q9:Q12)</f>
        <v>1</v>
      </c>
    </row>
    <row r="14" spans="1:21">
      <c r="A14" s="253"/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T14" s="252">
        <f>+T12*12</f>
        <v>94500</v>
      </c>
      <c r="U14" s="252">
        <f>+T14*2/3</f>
        <v>63000</v>
      </c>
    </row>
    <row r="15" spans="1:21">
      <c r="A15" s="253" t="s">
        <v>290</v>
      </c>
      <c r="B15" s="253"/>
      <c r="C15" s="253"/>
      <c r="D15" s="253"/>
      <c r="E15" s="268">
        <f>+'LUSI(w)'!K27</f>
        <v>2.36</v>
      </c>
      <c r="F15" s="253"/>
      <c r="G15" s="260">
        <f>+'Water Rate Design'!I40</f>
        <v>1.97</v>
      </c>
      <c r="H15" s="253"/>
      <c r="I15" s="268">
        <f>+'LUSI(w)'!K28</f>
        <v>2.73</v>
      </c>
      <c r="J15" s="253"/>
      <c r="K15" s="260">
        <f>+'Water Rate Design'!I41</f>
        <v>2.95</v>
      </c>
      <c r="M15" s="268">
        <f>+'LUSI(w)'!K29</f>
        <v>4.08</v>
      </c>
      <c r="N15" s="253"/>
      <c r="O15" s="260">
        <f>+'Water Rate Design'!I42</f>
        <v>3.93</v>
      </c>
      <c r="P15" s="253"/>
      <c r="Q15" s="253"/>
    </row>
    <row r="16" spans="1:21">
      <c r="A16" s="253"/>
      <c r="B16" s="253"/>
      <c r="E16" s="295" t="s">
        <v>279</v>
      </c>
      <c r="F16" s="295"/>
      <c r="G16" s="295"/>
      <c r="H16" s="253"/>
      <c r="I16" s="295" t="s">
        <v>282</v>
      </c>
      <c r="J16" s="295"/>
      <c r="K16" s="295"/>
      <c r="L16" s="253"/>
      <c r="M16" s="295" t="s">
        <v>285</v>
      </c>
      <c r="N16" s="295"/>
      <c r="O16" s="295"/>
      <c r="P16" s="253"/>
      <c r="Q16" s="253"/>
    </row>
    <row r="17" spans="1:18">
      <c r="A17" s="253"/>
      <c r="B17" s="253"/>
      <c r="E17" s="261" t="s">
        <v>13</v>
      </c>
      <c r="F17" s="261"/>
      <c r="G17" s="261" t="s">
        <v>18</v>
      </c>
      <c r="H17" s="253"/>
      <c r="I17" s="261" t="s">
        <v>13</v>
      </c>
      <c r="J17" s="261"/>
      <c r="K17" s="261" t="s">
        <v>18</v>
      </c>
      <c r="L17" s="253"/>
      <c r="M17" s="261" t="s">
        <v>13</v>
      </c>
      <c r="N17" s="261"/>
      <c r="O17" s="261" t="s">
        <v>18</v>
      </c>
      <c r="P17" s="253"/>
      <c r="Q17" s="253"/>
    </row>
    <row r="18" spans="1:18">
      <c r="A18" s="253" t="s">
        <v>291</v>
      </c>
      <c r="B18" s="253"/>
      <c r="E18" s="260">
        <f>+'Sanlando(w)'!K15</f>
        <v>4.49</v>
      </c>
      <c r="F18" s="253"/>
      <c r="G18" s="268">
        <f>+'Water Rate Design'!I9</f>
        <v>11.54</v>
      </c>
      <c r="H18" s="253"/>
      <c r="I18" s="260">
        <f>+E18</f>
        <v>4.49</v>
      </c>
      <c r="J18" s="253"/>
      <c r="K18" s="260">
        <f>+G18</f>
        <v>11.54</v>
      </c>
      <c r="M18" s="260">
        <f>+I18</f>
        <v>4.49</v>
      </c>
      <c r="N18" s="253"/>
      <c r="O18" s="260">
        <f>+K18</f>
        <v>11.54</v>
      </c>
      <c r="P18" s="253"/>
      <c r="Q18" s="253"/>
      <c r="R18" s="262"/>
    </row>
    <row r="19" spans="1:18">
      <c r="A19" s="253" t="s">
        <v>292</v>
      </c>
      <c r="B19" s="253"/>
      <c r="E19" s="263">
        <f>+E15*M9</f>
        <v>9.5445301157817006</v>
      </c>
      <c r="F19" s="253"/>
      <c r="G19" s="263">
        <f>+G15*M9</f>
        <v>7.967256071224555</v>
      </c>
      <c r="H19" s="253"/>
      <c r="I19" s="263">
        <f>(8*E15)+(M10-8)*I15</f>
        <v>29.675968961080734</v>
      </c>
      <c r="J19" s="253"/>
      <c r="K19" s="263">
        <f>8*G15+(M10-8)*K15</f>
        <v>27.42597378578321</v>
      </c>
      <c r="M19" s="263">
        <f>8*E15+8*I15+(M11-16)*M15</f>
        <v>90.32009266409267</v>
      </c>
      <c r="N19" s="253"/>
      <c r="O19" s="263">
        <f>8*G15+8*K15+(M11-16)*O15</f>
        <v>87.136559845559844</v>
      </c>
      <c r="P19" s="253"/>
      <c r="Q19" s="253"/>
      <c r="R19" s="262"/>
    </row>
    <row r="20" spans="1:18">
      <c r="A20" s="253"/>
      <c r="B20" s="253"/>
      <c r="E20" s="260">
        <f>+E18+E19</f>
        <v>14.034530115781701</v>
      </c>
      <c r="F20" s="253"/>
      <c r="G20" s="260">
        <f>+G18+G19</f>
        <v>19.507256071224553</v>
      </c>
      <c r="H20" s="253"/>
      <c r="I20" s="260">
        <f>+I18+I19</f>
        <v>34.165968961080736</v>
      </c>
      <c r="J20" s="253"/>
      <c r="K20" s="260">
        <f>+K18+K19</f>
        <v>38.965973785783206</v>
      </c>
      <c r="M20" s="260">
        <f>+M18+M19</f>
        <v>94.810092664092664</v>
      </c>
      <c r="N20" s="253"/>
      <c r="O20" s="260">
        <f>+O18+O19</f>
        <v>98.676559845559837</v>
      </c>
      <c r="P20" s="253"/>
      <c r="Q20" s="253"/>
      <c r="R20" s="262"/>
    </row>
    <row r="21" spans="1:18">
      <c r="A21" s="253" t="s">
        <v>156</v>
      </c>
      <c r="B21" s="253"/>
      <c r="E21" s="253"/>
      <c r="F21" s="253"/>
      <c r="G21" s="258">
        <f>+G20/E20-1</f>
        <v>0.38994721663597565</v>
      </c>
      <c r="H21" s="253"/>
      <c r="I21" s="253"/>
      <c r="J21" s="253"/>
      <c r="K21" s="258">
        <f>+K20/I20-1</f>
        <v>0.14049081500279614</v>
      </c>
      <c r="M21" s="253"/>
      <c r="N21" s="253"/>
      <c r="O21" s="258">
        <f>+O20/M20-1</f>
        <v>4.0781177117565681E-2</v>
      </c>
      <c r="P21" s="253"/>
      <c r="Q21" s="253"/>
    </row>
    <row r="22" spans="1:18">
      <c r="A22" s="253"/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</row>
    <row r="23" spans="1:18" ht="15.75" thickBot="1">
      <c r="A23" s="253" t="s">
        <v>293</v>
      </c>
      <c r="B23" s="253"/>
      <c r="C23" s="253"/>
      <c r="D23" s="253"/>
      <c r="F23" s="258"/>
      <c r="G23" s="264">
        <f>+G21/10*2</f>
        <v>7.7989443327195124E-2</v>
      </c>
      <c r="H23" s="253"/>
      <c r="J23" s="258"/>
      <c r="K23" s="264">
        <f>+K21/10*2</f>
        <v>2.8098163000559229E-2</v>
      </c>
      <c r="L23" s="253"/>
      <c r="M23" s="253"/>
      <c r="N23" s="253"/>
      <c r="O23" s="264">
        <f>+O21/10*2</f>
        <v>8.1562354235131355E-3</v>
      </c>
      <c r="P23" s="253"/>
      <c r="Q23" s="253"/>
    </row>
    <row r="24" spans="1:18" ht="15.75" thickTop="1">
      <c r="A24" s="265" t="s">
        <v>294</v>
      </c>
      <c r="B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</row>
    <row r="25" spans="1:18">
      <c r="A25" s="253"/>
      <c r="B25" s="253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</row>
    <row r="26" spans="1:18">
      <c r="A26" s="251" t="s">
        <v>295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</row>
    <row r="27" spans="1:18">
      <c r="A27" s="253"/>
      <c r="B27" s="253"/>
      <c r="C27" s="254" t="s">
        <v>296</v>
      </c>
      <c r="D27" s="253"/>
      <c r="E27" s="253"/>
      <c r="F27" s="253"/>
      <c r="G27" s="253"/>
      <c r="H27" s="253"/>
      <c r="I27" s="296" t="s">
        <v>12</v>
      </c>
      <c r="J27" s="296"/>
      <c r="K27" s="296"/>
      <c r="L27" s="253"/>
      <c r="M27" s="253"/>
      <c r="N27" s="253"/>
      <c r="O27" s="253"/>
      <c r="P27" s="253"/>
      <c r="Q27" s="253"/>
    </row>
    <row r="28" spans="1:18">
      <c r="A28" s="253"/>
      <c r="B28" s="253"/>
      <c r="C28" s="254" t="s">
        <v>297</v>
      </c>
      <c r="D28" s="253"/>
      <c r="E28" s="254" t="s">
        <v>298</v>
      </c>
      <c r="F28" s="253"/>
      <c r="G28" s="254" t="s">
        <v>299</v>
      </c>
      <c r="H28" s="253"/>
      <c r="I28" s="297" t="s">
        <v>300</v>
      </c>
      <c r="J28" s="297"/>
      <c r="K28" s="297"/>
      <c r="L28" s="253"/>
      <c r="M28" s="253"/>
      <c r="N28" s="253"/>
      <c r="O28" s="253"/>
      <c r="P28" s="253"/>
      <c r="Q28" s="253"/>
    </row>
    <row r="29" spans="1:18">
      <c r="A29" s="253"/>
      <c r="B29" s="253"/>
      <c r="C29" s="255" t="s">
        <v>278</v>
      </c>
      <c r="D29" s="253"/>
      <c r="E29" s="255" t="s">
        <v>301</v>
      </c>
      <c r="F29" s="253"/>
      <c r="G29" s="255" t="s">
        <v>302</v>
      </c>
      <c r="H29" s="253"/>
      <c r="I29" s="295" t="s">
        <v>278</v>
      </c>
      <c r="J29" s="295"/>
      <c r="K29" s="295"/>
      <c r="L29" s="253"/>
      <c r="M29" s="253"/>
      <c r="N29" s="253"/>
      <c r="O29" s="253"/>
      <c r="P29" s="253"/>
      <c r="Q29" s="253"/>
    </row>
    <row r="30" spans="1:18">
      <c r="A30" s="253" t="s">
        <v>279</v>
      </c>
      <c r="B30" s="253"/>
      <c r="C30" s="256">
        <f>+O9</f>
        <v>675727</v>
      </c>
      <c r="D30" s="253"/>
      <c r="E30" s="266">
        <f>+G23*0</f>
        <v>0</v>
      </c>
      <c r="F30" s="253"/>
      <c r="G30" s="256">
        <f>C30*E30</f>
        <v>0</v>
      </c>
      <c r="H30" s="253"/>
      <c r="I30" s="256">
        <f>+C30-G30</f>
        <v>675727</v>
      </c>
      <c r="J30" s="253"/>
      <c r="K30" s="258">
        <f>+I30/I$34</f>
        <v>0.54775620457776042</v>
      </c>
      <c r="L30" s="253"/>
      <c r="M30" s="253"/>
      <c r="N30" s="253"/>
      <c r="O30" s="253"/>
      <c r="P30" s="253"/>
      <c r="Q30" s="253"/>
    </row>
    <row r="31" spans="1:18">
      <c r="A31" s="253" t="s">
        <v>282</v>
      </c>
      <c r="B31" s="253"/>
      <c r="C31" s="256">
        <f>+O10</f>
        <v>284838</v>
      </c>
      <c r="D31" s="253"/>
      <c r="E31" s="266">
        <f>+K23</f>
        <v>2.8098163000559229E-2</v>
      </c>
      <c r="F31" s="253"/>
      <c r="G31" s="256">
        <f>C31*E31</f>
        <v>8003.4245527532894</v>
      </c>
      <c r="H31" s="253"/>
      <c r="I31" s="256">
        <f>+C31-G31</f>
        <v>276834.57544724672</v>
      </c>
      <c r="J31" s="253"/>
      <c r="K31" s="258">
        <f>+I31/I$34</f>
        <v>0.22440698143315202</v>
      </c>
      <c r="L31" s="253"/>
      <c r="M31" s="253"/>
      <c r="N31" s="253"/>
      <c r="O31" s="253"/>
      <c r="P31" s="253"/>
      <c r="Q31" s="253"/>
    </row>
    <row r="32" spans="1:18">
      <c r="A32" s="253" t="s">
        <v>285</v>
      </c>
      <c r="B32" s="253"/>
      <c r="C32" s="256">
        <f>+O11</f>
        <v>283377</v>
      </c>
      <c r="D32" s="253"/>
      <c r="E32" s="266">
        <f>+O23</f>
        <v>8.1562354235131355E-3</v>
      </c>
      <c r="F32" s="253"/>
      <c r="G32" s="256">
        <f>C32*E32</f>
        <v>2311.2895256088818</v>
      </c>
      <c r="H32" s="253"/>
      <c r="I32" s="256">
        <f>+C32-G32</f>
        <v>281065.71047439112</v>
      </c>
      <c r="J32" s="253"/>
      <c r="K32" s="258">
        <f>+I32/I$34</f>
        <v>0.22783681398908753</v>
      </c>
      <c r="L32" s="253"/>
      <c r="M32" s="253"/>
      <c r="N32" s="253"/>
      <c r="O32" s="253"/>
      <c r="P32" s="253"/>
      <c r="Q32" s="253"/>
    </row>
    <row r="33" spans="1:17">
      <c r="A33" s="253"/>
      <c r="B33" s="253"/>
      <c r="C33" s="256"/>
      <c r="D33" s="253"/>
      <c r="E33" s="253"/>
      <c r="F33" s="253"/>
      <c r="G33" s="256"/>
      <c r="H33" s="253"/>
      <c r="I33" s="256"/>
      <c r="J33" s="253"/>
      <c r="K33" s="253"/>
      <c r="L33" s="253"/>
      <c r="M33" s="253"/>
      <c r="N33" s="253"/>
      <c r="O33" s="253"/>
      <c r="P33" s="253"/>
      <c r="Q33" s="253"/>
    </row>
    <row r="34" spans="1:17">
      <c r="A34" s="253" t="s">
        <v>289</v>
      </c>
      <c r="B34" s="253"/>
      <c r="C34" s="256">
        <f>SUM(C30:C33)</f>
        <v>1243942</v>
      </c>
      <c r="D34" s="253"/>
      <c r="E34" s="253"/>
      <c r="F34" s="253"/>
      <c r="G34" s="256">
        <f>SUM(G30:G33)</f>
        <v>10314.714078362171</v>
      </c>
      <c r="H34" s="253"/>
      <c r="I34" s="256">
        <f>SUM(I30:I33)</f>
        <v>1233627.2859216379</v>
      </c>
      <c r="J34" s="253"/>
      <c r="K34" s="258">
        <f>SUM(K30:K33)</f>
        <v>0.99999999999999989</v>
      </c>
      <c r="L34" s="253"/>
      <c r="M34" s="253"/>
      <c r="N34" s="253"/>
      <c r="O34" s="253"/>
      <c r="P34" s="253"/>
      <c r="Q34" s="253"/>
    </row>
    <row r="35" spans="1:17">
      <c r="A35" s="253"/>
      <c r="B35" s="253"/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</row>
    <row r="36" spans="1:17">
      <c r="A36" s="253"/>
      <c r="B36" s="253"/>
      <c r="C36" s="253"/>
      <c r="D36" s="253"/>
      <c r="E36" s="253"/>
      <c r="F36" s="253"/>
      <c r="G36" s="267">
        <f>+G34/C34</f>
        <v>8.2919574050576081E-3</v>
      </c>
      <c r="H36" s="253"/>
      <c r="I36" s="253"/>
      <c r="J36" s="253"/>
      <c r="K36" s="253"/>
      <c r="L36" s="253"/>
      <c r="M36" s="253"/>
      <c r="N36" s="253"/>
      <c r="O36" s="253"/>
      <c r="P36" s="253"/>
      <c r="Q36" s="253"/>
    </row>
    <row r="37" spans="1:17">
      <c r="A37" s="253"/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</row>
    <row r="38" spans="1:17">
      <c r="A38" s="253"/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</row>
    <row r="39" spans="1:17">
      <c r="A39" s="253"/>
      <c r="B39" s="253"/>
      <c r="C39" s="253"/>
      <c r="D39" s="253"/>
      <c r="E39" s="258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</row>
    <row r="40" spans="1:17">
      <c r="A40" s="253"/>
      <c r="B40" s="253"/>
      <c r="C40" s="260"/>
      <c r="D40" s="253"/>
      <c r="E40" s="260"/>
      <c r="F40" s="253"/>
      <c r="G40" s="260"/>
      <c r="H40" s="253"/>
      <c r="I40" s="260"/>
      <c r="J40" s="253"/>
      <c r="K40" s="253"/>
      <c r="L40" s="253"/>
      <c r="M40" s="253"/>
      <c r="N40" s="253"/>
      <c r="O40" s="253"/>
      <c r="P40" s="253"/>
      <c r="Q40" s="253"/>
    </row>
    <row r="41" spans="1:17">
      <c r="A41" s="253"/>
      <c r="B41" s="253"/>
      <c r="C41" s="253"/>
      <c r="D41" s="253"/>
      <c r="E41" s="260"/>
      <c r="F41" s="253"/>
      <c r="G41" s="253"/>
      <c r="H41" s="253"/>
      <c r="I41" s="260"/>
      <c r="J41" s="253"/>
      <c r="K41" s="253"/>
      <c r="L41" s="253"/>
      <c r="M41" s="253"/>
      <c r="N41" s="253"/>
      <c r="O41" s="253"/>
      <c r="P41" s="253"/>
      <c r="Q41" s="253"/>
    </row>
    <row r="42" spans="1:17">
      <c r="A42" s="253"/>
      <c r="B42" s="253"/>
      <c r="C42" s="253"/>
      <c r="D42" s="253"/>
      <c r="E42" s="260"/>
      <c r="F42" s="253"/>
      <c r="G42" s="253"/>
      <c r="H42" s="253"/>
      <c r="I42" s="260"/>
      <c r="J42" s="253"/>
      <c r="K42" s="253"/>
      <c r="L42" s="253"/>
      <c r="M42" s="253"/>
      <c r="N42" s="253"/>
      <c r="O42" s="253"/>
      <c r="P42" s="253"/>
      <c r="Q42" s="253"/>
    </row>
    <row r="43" spans="1:17">
      <c r="A43" s="253"/>
      <c r="B43" s="253"/>
      <c r="C43" s="253"/>
      <c r="D43" s="253"/>
      <c r="E43" s="258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</row>
    <row r="44" spans="1:17">
      <c r="A44" s="253"/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</row>
    <row r="45" spans="1:17">
      <c r="A45" s="253"/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</row>
    <row r="46" spans="1:17">
      <c r="A46" s="253"/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</row>
    <row r="47" spans="1:17">
      <c r="A47" s="253"/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</row>
    <row r="48" spans="1:17">
      <c r="A48" s="253"/>
      <c r="B48" s="253"/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</row>
    <row r="49" spans="1:17">
      <c r="A49" s="253"/>
      <c r="B49" s="253"/>
      <c r="C49" s="253"/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</row>
    <row r="50" spans="1:17">
      <c r="A50" s="253"/>
      <c r="B50" s="253"/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</row>
    <row r="51" spans="1:17">
      <c r="A51" s="253"/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</row>
    <row r="52" spans="1:17">
      <c r="A52" s="253"/>
      <c r="B52" s="253"/>
      <c r="C52" s="253"/>
      <c r="D52" s="253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</row>
    <row r="53" spans="1:17">
      <c r="A53" s="253"/>
      <c r="B53" s="253"/>
      <c r="C53" s="253"/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</row>
    <row r="54" spans="1:17">
      <c r="A54" s="253"/>
      <c r="B54" s="253"/>
      <c r="C54" s="253"/>
      <c r="D54" s="253"/>
      <c r="E54" s="253"/>
      <c r="F54" s="253"/>
      <c r="G54" s="253"/>
      <c r="H54" s="253"/>
      <c r="I54" s="253"/>
      <c r="J54" s="253"/>
      <c r="K54" s="253"/>
      <c r="L54" s="253"/>
      <c r="M54" s="253"/>
      <c r="N54" s="253"/>
      <c r="O54" s="253"/>
      <c r="P54" s="253"/>
      <c r="Q54" s="253"/>
    </row>
    <row r="55" spans="1:17">
      <c r="A55" s="253"/>
      <c r="B55" s="253"/>
      <c r="C55" s="253"/>
      <c r="D55" s="253"/>
      <c r="E55" s="253"/>
      <c r="F55" s="253"/>
      <c r="G55" s="253"/>
      <c r="H55" s="253"/>
      <c r="I55" s="253"/>
      <c r="J55" s="253"/>
      <c r="K55" s="253"/>
      <c r="L55" s="253"/>
      <c r="M55" s="253"/>
      <c r="N55" s="253"/>
      <c r="O55" s="253"/>
      <c r="P55" s="253"/>
      <c r="Q55" s="253"/>
    </row>
    <row r="56" spans="1:17">
      <c r="A56" s="253"/>
      <c r="B56" s="253"/>
      <c r="C56" s="253"/>
      <c r="D56" s="253"/>
      <c r="E56" s="253"/>
      <c r="F56" s="253"/>
      <c r="G56" s="253"/>
      <c r="H56" s="253"/>
      <c r="I56" s="253"/>
      <c r="J56" s="253"/>
      <c r="K56" s="253"/>
      <c r="L56" s="253"/>
      <c r="M56" s="253"/>
      <c r="N56" s="253"/>
      <c r="O56" s="253"/>
      <c r="P56" s="253"/>
      <c r="Q56" s="253"/>
    </row>
    <row r="57" spans="1:17">
      <c r="A57" s="253"/>
      <c r="B57" s="253"/>
      <c r="C57" s="253"/>
      <c r="D57" s="253"/>
      <c r="E57" s="253"/>
      <c r="F57" s="253"/>
      <c r="G57" s="253"/>
      <c r="H57" s="253"/>
      <c r="I57" s="253"/>
      <c r="J57" s="253"/>
      <c r="K57" s="253"/>
      <c r="L57" s="253"/>
      <c r="M57" s="253"/>
      <c r="N57" s="253"/>
      <c r="O57" s="253"/>
      <c r="P57" s="253"/>
      <c r="Q57" s="253"/>
    </row>
    <row r="58" spans="1:17">
      <c r="A58" s="253"/>
      <c r="B58" s="253"/>
      <c r="C58" s="253"/>
      <c r="D58" s="253"/>
      <c r="E58" s="253"/>
      <c r="F58" s="253"/>
      <c r="G58" s="253"/>
      <c r="H58" s="253"/>
      <c r="I58" s="253"/>
      <c r="J58" s="253"/>
      <c r="K58" s="253"/>
      <c r="L58" s="253"/>
      <c r="M58" s="253"/>
      <c r="N58" s="253"/>
      <c r="O58" s="253"/>
      <c r="P58" s="253"/>
      <c r="Q58" s="253"/>
    </row>
    <row r="59" spans="1:17">
      <c r="A59" s="253"/>
      <c r="B59" s="253"/>
      <c r="C59" s="253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</row>
    <row r="60" spans="1:17">
      <c r="A60" s="253"/>
      <c r="B60" s="253"/>
      <c r="C60" s="253"/>
      <c r="D60" s="253"/>
      <c r="E60" s="253"/>
      <c r="F60" s="253"/>
      <c r="G60" s="253"/>
      <c r="H60" s="253"/>
      <c r="I60" s="253"/>
      <c r="J60" s="253"/>
      <c r="K60" s="253"/>
      <c r="L60" s="253"/>
      <c r="M60" s="253"/>
      <c r="N60" s="253"/>
      <c r="O60" s="253"/>
      <c r="P60" s="253"/>
      <c r="Q60" s="253"/>
    </row>
    <row r="61" spans="1:17">
      <c r="A61" s="253"/>
      <c r="B61" s="253"/>
      <c r="C61" s="253"/>
      <c r="D61" s="253"/>
      <c r="E61" s="253"/>
      <c r="F61" s="253"/>
      <c r="G61" s="253"/>
      <c r="H61" s="253"/>
      <c r="I61" s="253"/>
      <c r="J61" s="253"/>
      <c r="K61" s="253"/>
      <c r="L61" s="253"/>
      <c r="M61" s="253"/>
      <c r="N61" s="253"/>
      <c r="O61" s="253"/>
      <c r="P61" s="253"/>
      <c r="Q61" s="253"/>
    </row>
    <row r="62" spans="1:17">
      <c r="A62" s="253"/>
      <c r="B62" s="253"/>
      <c r="C62" s="253"/>
      <c r="D62" s="253"/>
      <c r="E62" s="253"/>
      <c r="F62" s="253"/>
      <c r="G62" s="253"/>
      <c r="H62" s="253"/>
      <c r="I62" s="253"/>
      <c r="J62" s="253"/>
      <c r="K62" s="253"/>
      <c r="L62" s="253"/>
      <c r="M62" s="253"/>
      <c r="N62" s="253"/>
      <c r="O62" s="253"/>
      <c r="P62" s="253"/>
      <c r="Q62" s="253"/>
    </row>
    <row r="63" spans="1:17">
      <c r="A63" s="253"/>
      <c r="B63" s="253"/>
      <c r="C63" s="253"/>
      <c r="D63" s="253"/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53"/>
      <c r="P63" s="253"/>
      <c r="Q63" s="253"/>
    </row>
    <row r="64" spans="1:17">
      <c r="A64" s="253"/>
      <c r="B64" s="253"/>
      <c r="C64" s="253"/>
      <c r="D64" s="253"/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253"/>
    </row>
    <row r="65" spans="1:17">
      <c r="A65" s="253"/>
      <c r="B65" s="253"/>
      <c r="C65" s="253"/>
      <c r="D65" s="253"/>
      <c r="E65" s="253"/>
      <c r="F65" s="253"/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253"/>
    </row>
    <row r="66" spans="1:17">
      <c r="A66" s="253"/>
      <c r="B66" s="253"/>
      <c r="C66" s="253"/>
      <c r="D66" s="253"/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53"/>
      <c r="P66" s="253"/>
      <c r="Q66" s="253"/>
    </row>
    <row r="67" spans="1:17">
      <c r="A67" s="253"/>
      <c r="B67" s="253"/>
      <c r="C67" s="253"/>
      <c r="D67" s="253"/>
      <c r="E67" s="253"/>
      <c r="F67" s="253"/>
      <c r="G67" s="253"/>
      <c r="H67" s="253"/>
      <c r="I67" s="253"/>
      <c r="J67" s="253"/>
      <c r="K67" s="253"/>
      <c r="L67" s="253"/>
      <c r="M67" s="253"/>
      <c r="N67" s="253"/>
      <c r="O67" s="253"/>
      <c r="P67" s="253"/>
      <c r="Q67" s="253"/>
    </row>
    <row r="68" spans="1:17">
      <c r="A68" s="253"/>
      <c r="B68" s="253"/>
      <c r="C68" s="253"/>
      <c r="D68" s="253"/>
      <c r="E68" s="253"/>
      <c r="F68" s="253"/>
      <c r="G68" s="253"/>
      <c r="H68" s="253"/>
      <c r="I68" s="253"/>
      <c r="J68" s="253"/>
      <c r="K68" s="253"/>
      <c r="L68" s="253"/>
      <c r="M68" s="253"/>
      <c r="N68" s="253"/>
      <c r="O68" s="253"/>
      <c r="P68" s="253"/>
      <c r="Q68" s="253"/>
    </row>
    <row r="69" spans="1:17">
      <c r="A69" s="253"/>
      <c r="B69" s="253"/>
      <c r="C69" s="253"/>
      <c r="D69" s="253"/>
      <c r="E69" s="253"/>
      <c r="F69" s="253"/>
      <c r="G69" s="253"/>
      <c r="H69" s="253"/>
      <c r="I69" s="253"/>
      <c r="J69" s="253"/>
      <c r="K69" s="253"/>
      <c r="L69" s="253"/>
      <c r="M69" s="253"/>
      <c r="N69" s="253"/>
      <c r="O69" s="253"/>
      <c r="P69" s="253"/>
      <c r="Q69" s="253"/>
    </row>
    <row r="70" spans="1:17">
      <c r="A70" s="253"/>
      <c r="B70" s="253"/>
      <c r="C70" s="253"/>
      <c r="D70" s="253"/>
      <c r="E70" s="253"/>
      <c r="F70" s="253"/>
      <c r="G70" s="253"/>
      <c r="H70" s="253"/>
      <c r="I70" s="253"/>
      <c r="J70" s="253"/>
      <c r="K70" s="253"/>
      <c r="L70" s="253"/>
      <c r="M70" s="253"/>
      <c r="N70" s="253"/>
      <c r="O70" s="253"/>
      <c r="P70" s="253"/>
      <c r="Q70" s="253"/>
    </row>
    <row r="71" spans="1:17">
      <c r="A71" s="253"/>
      <c r="B71" s="253"/>
      <c r="C71" s="253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53"/>
      <c r="O71" s="253"/>
      <c r="P71" s="253"/>
      <c r="Q71" s="253"/>
    </row>
    <row r="72" spans="1:17">
      <c r="A72" s="253"/>
      <c r="B72" s="253"/>
      <c r="C72" s="253"/>
      <c r="D72" s="253"/>
      <c r="E72" s="253"/>
      <c r="F72" s="253"/>
      <c r="G72" s="253"/>
      <c r="H72" s="253"/>
      <c r="I72" s="253"/>
      <c r="J72" s="253"/>
      <c r="K72" s="253"/>
      <c r="L72" s="253"/>
      <c r="M72" s="253"/>
      <c r="N72" s="253"/>
      <c r="O72" s="253"/>
      <c r="P72" s="253"/>
      <c r="Q72" s="253"/>
    </row>
    <row r="73" spans="1:17">
      <c r="A73" s="253"/>
      <c r="B73" s="253"/>
      <c r="C73" s="253"/>
      <c r="D73" s="253"/>
      <c r="E73" s="253"/>
      <c r="F73" s="253"/>
      <c r="G73" s="253"/>
      <c r="H73" s="253"/>
      <c r="I73" s="253"/>
      <c r="J73" s="253"/>
      <c r="K73" s="253"/>
      <c r="L73" s="253"/>
      <c r="M73" s="253"/>
      <c r="N73" s="253"/>
      <c r="O73" s="253"/>
      <c r="P73" s="253"/>
      <c r="Q73" s="253"/>
    </row>
    <row r="74" spans="1:17">
      <c r="A74" s="253"/>
      <c r="B74" s="253"/>
      <c r="C74" s="253"/>
      <c r="D74" s="253"/>
      <c r="E74" s="253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253"/>
    </row>
    <row r="75" spans="1:17">
      <c r="A75" s="253"/>
      <c r="B75" s="253"/>
      <c r="C75" s="253"/>
      <c r="D75" s="253"/>
      <c r="E75" s="253"/>
      <c r="F75" s="253"/>
      <c r="G75" s="253"/>
      <c r="H75" s="253"/>
      <c r="I75" s="253"/>
      <c r="J75" s="253"/>
      <c r="K75" s="253"/>
      <c r="L75" s="253"/>
      <c r="M75" s="253"/>
      <c r="N75" s="253"/>
      <c r="O75" s="253"/>
      <c r="P75" s="253"/>
      <c r="Q75" s="253"/>
    </row>
    <row r="76" spans="1:17">
      <c r="A76" s="253"/>
      <c r="B76" s="253"/>
      <c r="C76" s="253"/>
      <c r="D76" s="253"/>
      <c r="E76" s="253"/>
      <c r="F76" s="253"/>
      <c r="G76" s="253"/>
      <c r="H76" s="253"/>
      <c r="I76" s="253"/>
      <c r="J76" s="253"/>
      <c r="K76" s="253"/>
      <c r="L76" s="253"/>
      <c r="M76" s="253"/>
      <c r="N76" s="253"/>
      <c r="O76" s="253"/>
      <c r="P76" s="253"/>
      <c r="Q76" s="253"/>
    </row>
    <row r="77" spans="1:17">
      <c r="A77" s="253"/>
      <c r="B77" s="253"/>
      <c r="C77" s="253"/>
      <c r="D77" s="253"/>
      <c r="E77" s="253"/>
      <c r="F77" s="253"/>
      <c r="G77" s="253"/>
      <c r="H77" s="253"/>
      <c r="I77" s="253"/>
      <c r="J77" s="253"/>
      <c r="K77" s="253"/>
      <c r="L77" s="253"/>
      <c r="M77" s="253"/>
      <c r="N77" s="253"/>
      <c r="O77" s="253"/>
      <c r="P77" s="253"/>
      <c r="Q77" s="253"/>
    </row>
    <row r="78" spans="1:17">
      <c r="A78" s="253"/>
      <c r="B78" s="253"/>
      <c r="C78" s="253"/>
      <c r="D78" s="253"/>
      <c r="E78" s="253"/>
      <c r="F78" s="253"/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253"/>
    </row>
    <row r="79" spans="1:17">
      <c r="A79" s="253"/>
      <c r="B79" s="253"/>
      <c r="C79" s="253"/>
      <c r="D79" s="253"/>
      <c r="E79" s="253"/>
      <c r="F79" s="253"/>
      <c r="G79" s="253"/>
      <c r="H79" s="253"/>
      <c r="I79" s="253"/>
      <c r="J79" s="253"/>
      <c r="K79" s="253"/>
      <c r="L79" s="253"/>
      <c r="M79" s="253"/>
      <c r="N79" s="253"/>
      <c r="O79" s="253"/>
      <c r="P79" s="253"/>
      <c r="Q79" s="253"/>
    </row>
    <row r="80" spans="1:17">
      <c r="A80" s="253"/>
      <c r="B80" s="253"/>
      <c r="C80" s="253"/>
      <c r="D80" s="253"/>
      <c r="E80" s="253"/>
      <c r="F80" s="253"/>
      <c r="G80" s="253"/>
      <c r="H80" s="253"/>
      <c r="I80" s="253"/>
      <c r="J80" s="253"/>
      <c r="K80" s="253"/>
      <c r="L80" s="253"/>
      <c r="M80" s="253"/>
      <c r="N80" s="253"/>
      <c r="O80" s="253"/>
      <c r="P80" s="253"/>
      <c r="Q80" s="253"/>
    </row>
    <row r="81" spans="1:17">
      <c r="A81" s="253"/>
      <c r="B81" s="253"/>
      <c r="C81" s="253"/>
      <c r="D81" s="253"/>
      <c r="E81" s="253"/>
      <c r="F81" s="253"/>
      <c r="G81" s="253"/>
      <c r="H81" s="253"/>
      <c r="I81" s="253"/>
      <c r="J81" s="253"/>
      <c r="K81" s="253"/>
      <c r="L81" s="253"/>
      <c r="M81" s="253"/>
      <c r="N81" s="253"/>
      <c r="O81" s="253"/>
      <c r="P81" s="253"/>
      <c r="Q81" s="253"/>
    </row>
  </sheetData>
  <mergeCells count="12">
    <mergeCell ref="I29:K29"/>
    <mergeCell ref="E6:G6"/>
    <mergeCell ref="I6:K6"/>
    <mergeCell ref="O6:Q6"/>
    <mergeCell ref="E7:G7"/>
    <mergeCell ref="I7:K7"/>
    <mergeCell ref="O7:Q7"/>
    <mergeCell ref="E16:G16"/>
    <mergeCell ref="I16:K16"/>
    <mergeCell ref="M16:O16"/>
    <mergeCell ref="I27:K27"/>
    <mergeCell ref="I28:K28"/>
  </mergeCells>
  <printOptions horizontalCentered="1"/>
  <pageMargins left="0.75" right="0.5" top="1" bottom="1" header="0.5" footer="0.5"/>
  <pageSetup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8"/>
  <sheetViews>
    <sheetView topLeftCell="A10" workbookViewId="0">
      <selection activeCell="K43" sqref="K43"/>
    </sheetView>
  </sheetViews>
  <sheetFormatPr defaultColWidth="10.85546875" defaultRowHeight="12"/>
  <cols>
    <col min="1" max="1" width="6.85546875" style="3" customWidth="1"/>
    <col min="2" max="2" width="8.42578125" style="3" hidden="1" customWidth="1"/>
    <col min="3" max="3" width="29" style="28" customWidth="1"/>
    <col min="4" max="4" width="1.7109375" style="3" customWidth="1"/>
    <col min="5" max="5" width="10.7109375" style="3" hidden="1" customWidth="1"/>
    <col min="6" max="6" width="1.7109375" style="3" hidden="1" customWidth="1"/>
    <col min="7" max="7" width="10.7109375" style="3" hidden="1" customWidth="1"/>
    <col min="8" max="8" width="1.7109375" style="3" hidden="1" customWidth="1"/>
    <col min="9" max="9" width="10.7109375" style="3" customWidth="1"/>
    <col min="10" max="10" width="2.7109375" style="3" customWidth="1"/>
    <col min="11" max="11" width="11.85546875" style="3" customWidth="1"/>
    <col min="12" max="12" width="1.7109375" style="3" customWidth="1"/>
    <col min="13" max="13" width="11.28515625" style="3" bestFit="1" customWidth="1"/>
    <col min="14" max="14" width="2.7109375" style="3" customWidth="1"/>
    <col min="15" max="15" width="10.85546875" style="3"/>
    <col min="16" max="16" width="1.85546875" style="3" customWidth="1"/>
    <col min="17" max="16384" width="10.85546875" style="3"/>
  </cols>
  <sheetData>
    <row r="1" spans="1:17">
      <c r="A1" s="1" t="s">
        <v>0</v>
      </c>
      <c r="B1" s="1"/>
      <c r="C1" s="2"/>
      <c r="E1" s="1"/>
      <c r="F1" s="1"/>
      <c r="G1" s="1"/>
      <c r="H1" s="1"/>
      <c r="I1" s="4" t="s">
        <v>1</v>
      </c>
      <c r="K1" s="4"/>
      <c r="L1" s="4"/>
      <c r="M1" s="4"/>
    </row>
    <row r="2" spans="1:17">
      <c r="A2" s="1"/>
      <c r="B2" s="1"/>
      <c r="C2" s="2"/>
      <c r="E2" s="1"/>
      <c r="F2" s="1"/>
      <c r="G2" s="1"/>
      <c r="H2" s="1"/>
      <c r="I2" s="4"/>
      <c r="K2" s="4"/>
      <c r="L2" s="4"/>
      <c r="M2" s="4"/>
    </row>
    <row r="3" spans="1:17">
      <c r="A3" s="1" t="s">
        <v>2</v>
      </c>
      <c r="B3" s="1"/>
      <c r="C3" s="2"/>
      <c r="E3" s="1"/>
      <c r="F3" s="1"/>
      <c r="G3" s="1"/>
      <c r="H3" s="1"/>
      <c r="I3" s="4"/>
      <c r="K3" s="4"/>
      <c r="L3" s="4"/>
      <c r="M3" s="4"/>
    </row>
    <row r="4" spans="1:17">
      <c r="A4" s="1" t="s">
        <v>4</v>
      </c>
      <c r="B4" s="1"/>
      <c r="C4" s="2"/>
      <c r="E4" s="1"/>
      <c r="F4" s="1"/>
      <c r="G4" s="1"/>
      <c r="H4" s="1"/>
      <c r="I4" s="5"/>
      <c r="K4" s="4"/>
      <c r="L4" s="4"/>
      <c r="M4" s="4"/>
    </row>
    <row r="5" spans="1:17">
      <c r="A5" s="1" t="s">
        <v>6</v>
      </c>
      <c r="B5" s="1"/>
      <c r="C5" s="2"/>
      <c r="E5" s="1"/>
      <c r="F5" s="1"/>
      <c r="G5" s="1"/>
      <c r="H5" s="1"/>
      <c r="I5" s="4"/>
      <c r="K5" s="4"/>
      <c r="L5" s="4"/>
      <c r="M5" s="4"/>
    </row>
    <row r="6" spans="1:17">
      <c r="A6" s="1" t="s">
        <v>8</v>
      </c>
      <c r="B6" s="1"/>
      <c r="C6" s="2"/>
      <c r="D6" s="1"/>
      <c r="E6" s="1"/>
      <c r="F6" s="1"/>
      <c r="G6" s="1"/>
      <c r="H6" s="1"/>
      <c r="I6" s="4"/>
      <c r="J6" s="4"/>
      <c r="K6" s="4"/>
      <c r="L6" s="4"/>
      <c r="M6" s="4"/>
    </row>
    <row r="7" spans="1:17">
      <c r="A7" s="1" t="s">
        <v>9</v>
      </c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7">
      <c r="A8" s="6" t="s">
        <v>10</v>
      </c>
      <c r="B8" s="6"/>
      <c r="C8" s="2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7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Q9" s="7"/>
    </row>
    <row r="10" spans="1:17">
      <c r="A10" s="9"/>
      <c r="B10" s="10" t="s">
        <v>11</v>
      </c>
      <c r="C10" s="11"/>
      <c r="D10" s="12"/>
      <c r="E10" s="11"/>
      <c r="G10" s="11"/>
      <c r="H10" s="13"/>
      <c r="I10" s="11"/>
      <c r="K10" s="11"/>
      <c r="L10" s="11"/>
      <c r="M10" s="11"/>
      <c r="N10" s="11"/>
      <c r="O10" s="11"/>
      <c r="Q10" s="11"/>
    </row>
    <row r="11" spans="1:17">
      <c r="C11" s="2"/>
      <c r="D11" s="1"/>
      <c r="E11" s="12" t="s">
        <v>12</v>
      </c>
      <c r="F11" s="1"/>
      <c r="G11" s="12" t="s">
        <v>12</v>
      </c>
      <c r="H11" s="1"/>
      <c r="J11" s="12"/>
      <c r="K11" s="12"/>
      <c r="L11" s="12"/>
      <c r="M11" s="12" t="s">
        <v>184</v>
      </c>
      <c r="O11" s="12" t="s">
        <v>183</v>
      </c>
      <c r="Q11" s="12" t="s">
        <v>184</v>
      </c>
    </row>
    <row r="12" spans="1:17">
      <c r="A12" s="12" t="s">
        <v>14</v>
      </c>
      <c r="B12" s="12" t="s">
        <v>15</v>
      </c>
      <c r="C12" s="2"/>
      <c r="D12" s="1"/>
      <c r="E12" s="12" t="s">
        <v>16</v>
      </c>
      <c r="F12" s="1"/>
      <c r="G12" s="12" t="s">
        <v>16</v>
      </c>
      <c r="H12" s="1"/>
      <c r="I12" s="12" t="s">
        <v>13</v>
      </c>
      <c r="J12" s="12"/>
      <c r="K12" s="12" t="s">
        <v>18</v>
      </c>
      <c r="L12" s="12"/>
      <c r="M12" s="12" t="s">
        <v>185</v>
      </c>
      <c r="O12" s="12" t="s">
        <v>182</v>
      </c>
      <c r="Q12" s="12" t="s">
        <v>185</v>
      </c>
    </row>
    <row r="13" spans="1:17" ht="14.25">
      <c r="A13" s="14" t="s">
        <v>19</v>
      </c>
      <c r="B13" s="14" t="s">
        <v>20</v>
      </c>
      <c r="C13" s="15" t="s">
        <v>21</v>
      </c>
      <c r="D13" s="16"/>
      <c r="E13" s="17" t="s">
        <v>22</v>
      </c>
      <c r="F13" s="17"/>
      <c r="G13" s="17" t="s">
        <v>23</v>
      </c>
      <c r="H13" s="17"/>
      <c r="I13" s="130" t="s">
        <v>17</v>
      </c>
      <c r="J13" s="18"/>
      <c r="K13" s="14" t="s">
        <v>17</v>
      </c>
      <c r="L13" s="124"/>
      <c r="M13" s="125" t="s">
        <v>186</v>
      </c>
      <c r="O13" s="14" t="s">
        <v>17</v>
      </c>
      <c r="Q13" s="14" t="s">
        <v>186</v>
      </c>
    </row>
    <row r="14" spans="1:17">
      <c r="A14" s="19">
        <v>1</v>
      </c>
      <c r="B14" s="19"/>
      <c r="C14" s="20" t="s">
        <v>24</v>
      </c>
      <c r="I14" s="21"/>
      <c r="J14" s="21"/>
      <c r="K14" s="21"/>
      <c r="L14" s="21"/>
      <c r="M14" s="21"/>
    </row>
    <row r="15" spans="1:17">
      <c r="A15" s="19">
        <v>2</v>
      </c>
      <c r="B15" s="19">
        <v>68001</v>
      </c>
      <c r="C15" s="22" t="s">
        <v>25</v>
      </c>
      <c r="D15" s="23"/>
      <c r="E15" s="24">
        <v>6.89</v>
      </c>
      <c r="F15" s="25"/>
      <c r="G15" s="24">
        <v>6.97</v>
      </c>
      <c r="H15" s="26"/>
      <c r="I15" s="122">
        <v>7.04</v>
      </c>
      <c r="J15" s="27"/>
      <c r="K15" s="122">
        <v>6.92</v>
      </c>
      <c r="L15" s="122"/>
      <c r="M15" s="126">
        <f>+K15/I15-1</f>
        <v>-1.7045454545454586E-2</v>
      </c>
      <c r="O15" s="122">
        <f>+'Water Rate Design'!I9</f>
        <v>11.54</v>
      </c>
      <c r="Q15" s="126">
        <f>O15/I15-1</f>
        <v>0.63920454545454541</v>
      </c>
    </row>
    <row r="16" spans="1:17">
      <c r="A16" s="19">
        <v>3</v>
      </c>
      <c r="B16" s="19">
        <v>68002</v>
      </c>
      <c r="C16" s="28" t="s">
        <v>26</v>
      </c>
      <c r="D16" s="23"/>
      <c r="E16" s="24">
        <v>10.33</v>
      </c>
      <c r="F16" s="25"/>
      <c r="G16" s="24">
        <v>10.45</v>
      </c>
      <c r="H16" s="26"/>
      <c r="I16" s="122">
        <v>10.55</v>
      </c>
      <c r="J16" s="27"/>
      <c r="K16" s="122">
        <v>10.38</v>
      </c>
      <c r="L16" s="122"/>
      <c r="M16" s="126">
        <f t="shared" ref="M16:M22" si="0">+K16/I16-1</f>
        <v>-1.6113744075829328E-2</v>
      </c>
      <c r="O16" s="122">
        <f>+'Water Rate Design'!I10</f>
        <v>17.309999999999999</v>
      </c>
      <c r="Q16" s="126">
        <f t="shared" ref="Q16:Q22" si="1">O16/I16-1</f>
        <v>0.64075829383886229</v>
      </c>
    </row>
    <row r="17" spans="1:17">
      <c r="A17" s="19">
        <v>4</v>
      </c>
      <c r="B17" s="19">
        <v>68003</v>
      </c>
      <c r="C17" s="29" t="s">
        <v>27</v>
      </c>
      <c r="D17" s="30"/>
      <c r="E17" s="24">
        <v>17.22</v>
      </c>
      <c r="F17" s="25"/>
      <c r="G17" s="24">
        <v>17.41</v>
      </c>
      <c r="H17" s="26"/>
      <c r="I17" s="122">
        <v>17.579999999999998</v>
      </c>
      <c r="J17" s="31"/>
      <c r="K17" s="122">
        <v>17.29</v>
      </c>
      <c r="L17" s="122"/>
      <c r="M17" s="126">
        <f t="shared" si="0"/>
        <v>-1.6496018202502793E-2</v>
      </c>
      <c r="O17" s="122">
        <f>+'Water Rate Design'!I11</f>
        <v>28.84</v>
      </c>
      <c r="Q17" s="126">
        <f t="shared" si="1"/>
        <v>0.64050056882821393</v>
      </c>
    </row>
    <row r="18" spans="1:17">
      <c r="A18" s="19">
        <v>5</v>
      </c>
      <c r="B18" s="19">
        <v>68004</v>
      </c>
      <c r="C18" s="29" t="s">
        <v>28</v>
      </c>
      <c r="D18" s="30"/>
      <c r="E18" s="24">
        <v>34.47</v>
      </c>
      <c r="F18" s="25"/>
      <c r="G18" s="24">
        <v>34.86</v>
      </c>
      <c r="H18" s="26"/>
      <c r="I18" s="122">
        <v>35.200000000000003</v>
      </c>
      <c r="J18" s="27"/>
      <c r="K18" s="122">
        <v>34.619999999999997</v>
      </c>
      <c r="L18" s="122"/>
      <c r="M18" s="126">
        <f t="shared" si="0"/>
        <v>-1.647727272727284E-2</v>
      </c>
      <c r="O18" s="122">
        <f>+'Water Rate Design'!I12</f>
        <v>57.69</v>
      </c>
      <c r="Q18" s="126">
        <f t="shared" si="1"/>
        <v>0.63892045454545432</v>
      </c>
    </row>
    <row r="19" spans="1:17">
      <c r="A19" s="19">
        <v>6</v>
      </c>
      <c r="B19" s="19"/>
      <c r="C19" s="29" t="s">
        <v>29</v>
      </c>
      <c r="D19" s="30"/>
      <c r="E19" s="24">
        <v>55.13</v>
      </c>
      <c r="F19" s="25"/>
      <c r="G19" s="24">
        <v>55.75</v>
      </c>
      <c r="H19" s="26"/>
      <c r="I19" s="122">
        <v>56.3</v>
      </c>
      <c r="J19" s="27"/>
      <c r="K19" s="122">
        <v>55.38</v>
      </c>
      <c r="L19" s="122"/>
      <c r="M19" s="126">
        <f t="shared" si="0"/>
        <v>-1.63410301953818E-2</v>
      </c>
      <c r="O19" s="122">
        <f>+'Water Rate Design'!I13</f>
        <v>92.3</v>
      </c>
      <c r="Q19" s="126">
        <f t="shared" si="1"/>
        <v>0.6394316163410303</v>
      </c>
    </row>
    <row r="20" spans="1:17">
      <c r="A20" s="19">
        <v>7</v>
      </c>
      <c r="B20" s="19"/>
      <c r="C20" s="29" t="s">
        <v>30</v>
      </c>
      <c r="D20" s="30"/>
      <c r="E20" s="24">
        <v>110.25</v>
      </c>
      <c r="F20" s="25"/>
      <c r="G20" s="24">
        <v>111.5</v>
      </c>
      <c r="H20" s="26"/>
      <c r="I20" s="122">
        <v>112.6</v>
      </c>
      <c r="J20" s="27"/>
      <c r="K20" s="122">
        <v>110.75</v>
      </c>
      <c r="L20" s="122"/>
      <c r="M20" s="126">
        <f t="shared" si="0"/>
        <v>-1.6429840142095919E-2</v>
      </c>
      <c r="O20" s="122">
        <f>+'Water Rate Design'!I14</f>
        <v>184.59</v>
      </c>
      <c r="Q20" s="126">
        <f t="shared" si="1"/>
        <v>0.63934280639431629</v>
      </c>
    </row>
    <row r="21" spans="1:17">
      <c r="A21" s="19">
        <v>8</v>
      </c>
      <c r="B21" s="19"/>
      <c r="C21" s="29" t="s">
        <v>31</v>
      </c>
      <c r="D21" s="30"/>
      <c r="E21" s="24">
        <v>172.29</v>
      </c>
      <c r="F21" s="25"/>
      <c r="G21" s="24">
        <v>174.24</v>
      </c>
      <c r="H21" s="26"/>
      <c r="I21" s="122">
        <v>175.96</v>
      </c>
      <c r="J21" s="27"/>
      <c r="K21" s="122">
        <v>173.07</v>
      </c>
      <c r="L21" s="122"/>
      <c r="M21" s="126">
        <f t="shared" si="0"/>
        <v>-1.6424187315299044E-2</v>
      </c>
      <c r="O21" s="122">
        <f>+'Water Rate Design'!I15</f>
        <v>288.43</v>
      </c>
      <c r="Q21" s="126">
        <f t="shared" si="1"/>
        <v>0.63917935894521483</v>
      </c>
    </row>
    <row r="22" spans="1:17">
      <c r="A22" s="19">
        <v>9</v>
      </c>
      <c r="B22" s="19"/>
      <c r="C22" s="29" t="s">
        <v>32</v>
      </c>
      <c r="D22" s="30"/>
      <c r="E22" s="24">
        <v>344.54</v>
      </c>
      <c r="F22" s="25"/>
      <c r="G22" s="24">
        <v>348.43</v>
      </c>
      <c r="H22" s="26"/>
      <c r="I22" s="122">
        <v>351.87</v>
      </c>
      <c r="J22" s="27"/>
      <c r="K22" s="122">
        <v>346.1</v>
      </c>
      <c r="L22" s="122"/>
      <c r="M22" s="126">
        <f t="shared" si="0"/>
        <v>-1.6398101571603152E-2</v>
      </c>
      <c r="O22" s="122">
        <f>+'Water Rate Design'!I16</f>
        <v>576.86</v>
      </c>
      <c r="Q22" s="126">
        <f t="shared" si="1"/>
        <v>0.63941228294540609</v>
      </c>
    </row>
    <row r="23" spans="1:17">
      <c r="A23" s="19">
        <v>10</v>
      </c>
      <c r="B23" s="19"/>
      <c r="C23" s="22"/>
      <c r="D23" s="30"/>
      <c r="E23" s="25"/>
      <c r="F23" s="25"/>
      <c r="G23" s="25"/>
      <c r="H23" s="26"/>
      <c r="I23" s="27"/>
      <c r="J23" s="27"/>
      <c r="K23" s="27"/>
      <c r="L23" s="27"/>
      <c r="M23" s="27"/>
    </row>
    <row r="24" spans="1:17">
      <c r="A24" s="19">
        <v>11</v>
      </c>
      <c r="B24" s="19"/>
      <c r="C24" s="33" t="s">
        <v>33</v>
      </c>
      <c r="D24" s="30"/>
      <c r="E24" s="25"/>
      <c r="F24" s="25"/>
      <c r="G24" s="25"/>
      <c r="H24" s="25"/>
      <c r="J24" s="31"/>
    </row>
    <row r="25" spans="1:17">
      <c r="A25" s="19">
        <v>12</v>
      </c>
      <c r="B25" s="19"/>
      <c r="C25" s="33" t="s">
        <v>34</v>
      </c>
      <c r="D25" s="30"/>
      <c r="E25" s="34">
        <v>4.74</v>
      </c>
      <c r="F25" s="35"/>
      <c r="G25" s="34">
        <v>4.79</v>
      </c>
      <c r="H25" s="36"/>
      <c r="I25" s="122">
        <v>4.84</v>
      </c>
      <c r="J25" s="31"/>
      <c r="K25" s="122">
        <v>4.76</v>
      </c>
      <c r="L25" s="122"/>
      <c r="M25" s="126">
        <f t="shared" ref="M25:M27" si="2">+K25/I25-1</f>
        <v>-1.6528925619834767E-2</v>
      </c>
    </row>
    <row r="26" spans="1:17">
      <c r="A26" s="19">
        <v>13</v>
      </c>
      <c r="B26" s="19"/>
      <c r="C26" s="33" t="s">
        <v>35</v>
      </c>
      <c r="D26" s="30"/>
      <c r="E26" s="34">
        <v>7.11</v>
      </c>
      <c r="F26" s="35"/>
      <c r="G26" s="34">
        <v>7.19</v>
      </c>
      <c r="H26" s="36"/>
      <c r="I26" s="122">
        <v>7.26</v>
      </c>
      <c r="J26" s="31"/>
      <c r="K26" s="122">
        <v>7.14</v>
      </c>
      <c r="L26" s="122"/>
      <c r="M26" s="126">
        <f t="shared" si="2"/>
        <v>-1.6528925619834767E-2</v>
      </c>
    </row>
    <row r="27" spans="1:17">
      <c r="A27" s="19">
        <v>14</v>
      </c>
      <c r="B27" s="19"/>
      <c r="C27" s="33" t="s">
        <v>36</v>
      </c>
      <c r="D27" s="30"/>
      <c r="E27" s="34">
        <v>9.48</v>
      </c>
      <c r="F27" s="35"/>
      <c r="G27" s="34">
        <v>9.59</v>
      </c>
      <c r="H27" s="36"/>
      <c r="I27" s="122">
        <v>9.68</v>
      </c>
      <c r="J27" s="31"/>
      <c r="K27" s="122">
        <v>9.52</v>
      </c>
      <c r="L27" s="122"/>
      <c r="M27" s="126">
        <f t="shared" si="2"/>
        <v>-1.6528925619834767E-2</v>
      </c>
    </row>
    <row r="28" spans="1:17">
      <c r="A28" s="19"/>
      <c r="B28" s="19"/>
      <c r="C28" s="33" t="str">
        <f>+'Water Rate Design'!B40</f>
        <v>0-8k</v>
      </c>
      <c r="D28" s="30"/>
      <c r="E28" s="47"/>
      <c r="F28" s="123"/>
      <c r="G28" s="47"/>
      <c r="H28" s="36"/>
      <c r="I28" s="122"/>
      <c r="J28" s="31"/>
      <c r="K28" s="122"/>
      <c r="L28" s="122"/>
      <c r="M28" s="122"/>
      <c r="O28" s="122">
        <f>+'Water Rate Design'!I40</f>
        <v>1.97</v>
      </c>
      <c r="Q28" s="126">
        <f>+O28/I25-1</f>
        <v>-0.59297520661157022</v>
      </c>
    </row>
    <row r="29" spans="1:17">
      <c r="A29" s="19"/>
      <c r="B29" s="19"/>
      <c r="C29" s="33" t="str">
        <f>+'Water Rate Design'!B41</f>
        <v>8-16k</v>
      </c>
      <c r="D29" s="30"/>
      <c r="E29" s="47"/>
      <c r="F29" s="123"/>
      <c r="G29" s="47"/>
      <c r="H29" s="36"/>
      <c r="I29" s="122"/>
      <c r="J29" s="31"/>
      <c r="K29" s="122"/>
      <c r="L29" s="122"/>
      <c r="M29" s="122"/>
      <c r="O29" s="122">
        <f>+'Water Rate Design'!I41</f>
        <v>2.95</v>
      </c>
      <c r="Q29" s="126">
        <f t="shared" ref="Q29:Q30" si="3">+O29/I26-1</f>
        <v>-0.59366391184572997</v>
      </c>
    </row>
    <row r="30" spans="1:17">
      <c r="A30" s="19"/>
      <c r="B30" s="19"/>
      <c r="C30" s="33" t="str">
        <f>+'Water Rate Design'!B42</f>
        <v>+16k</v>
      </c>
      <c r="D30" s="30"/>
      <c r="E30" s="47"/>
      <c r="F30" s="123"/>
      <c r="G30" s="47"/>
      <c r="H30" s="36"/>
      <c r="I30" s="122"/>
      <c r="J30" s="31"/>
      <c r="K30" s="122"/>
      <c r="L30" s="122"/>
      <c r="M30" s="122"/>
      <c r="O30" s="122">
        <f>+'Water Rate Design'!I42</f>
        <v>3.93</v>
      </c>
      <c r="Q30" s="126">
        <f t="shared" si="3"/>
        <v>-0.59400826446280997</v>
      </c>
    </row>
    <row r="31" spans="1:17">
      <c r="A31" s="19"/>
      <c r="B31" s="19"/>
      <c r="C31" s="33"/>
      <c r="D31" s="30"/>
      <c r="E31" s="47"/>
      <c r="F31" s="123"/>
      <c r="G31" s="47"/>
      <c r="H31" s="36"/>
      <c r="I31" s="122"/>
      <c r="J31" s="31"/>
      <c r="K31" s="122"/>
      <c r="L31" s="122"/>
      <c r="M31" s="122"/>
      <c r="O31" s="122"/>
    </row>
    <row r="32" spans="1:17">
      <c r="A32" s="19">
        <v>15</v>
      </c>
      <c r="B32" s="19"/>
      <c r="C32" s="38"/>
      <c r="D32" s="30"/>
      <c r="E32" s="123"/>
      <c r="F32" s="123"/>
      <c r="G32" s="39"/>
      <c r="H32" s="40"/>
      <c r="I32" s="27"/>
      <c r="J32" s="27"/>
      <c r="K32" s="27"/>
      <c r="L32" s="27"/>
      <c r="M32" s="27"/>
    </row>
    <row r="33" spans="1:17">
      <c r="A33" s="19">
        <v>16</v>
      </c>
      <c r="B33" s="19"/>
      <c r="C33" s="41" t="s">
        <v>37</v>
      </c>
      <c r="D33" s="42"/>
      <c r="E33" s="43"/>
      <c r="F33" s="43"/>
      <c r="G33" s="43"/>
      <c r="H33" s="44"/>
      <c r="I33" s="27"/>
      <c r="J33" s="27"/>
      <c r="K33" s="27"/>
      <c r="L33" s="27"/>
      <c r="M33" s="27"/>
    </row>
    <row r="34" spans="1:17">
      <c r="A34" s="19">
        <v>17</v>
      </c>
      <c r="B34" s="19">
        <v>68006</v>
      </c>
      <c r="C34" s="22" t="s">
        <v>38</v>
      </c>
      <c r="D34" s="23"/>
      <c r="E34" s="24">
        <v>6.89</v>
      </c>
      <c r="F34" s="25"/>
      <c r="G34" s="24">
        <v>6.97</v>
      </c>
      <c r="H34" s="26"/>
      <c r="I34" s="122">
        <v>7.04</v>
      </c>
      <c r="J34" s="27"/>
      <c r="K34" s="122">
        <f>+K15</f>
        <v>6.92</v>
      </c>
      <c r="L34" s="122"/>
      <c r="M34" s="126">
        <f t="shared" ref="M34:M41" si="4">+K34/I34-1</f>
        <v>-1.7045454545454586E-2</v>
      </c>
      <c r="O34" s="122">
        <f>+O15</f>
        <v>11.54</v>
      </c>
      <c r="Q34" s="126">
        <f t="shared" ref="Q34:Q43" si="5">O34/I34-1</f>
        <v>0.63920454545454541</v>
      </c>
    </row>
    <row r="35" spans="1:17">
      <c r="A35" s="19">
        <v>18</v>
      </c>
      <c r="B35" s="19">
        <v>68006</v>
      </c>
      <c r="C35" s="45" t="s">
        <v>26</v>
      </c>
      <c r="D35" s="30"/>
      <c r="E35" s="24">
        <v>10.33</v>
      </c>
      <c r="F35" s="25"/>
      <c r="G35" s="24">
        <v>10.45</v>
      </c>
      <c r="H35" s="26"/>
      <c r="I35" s="122">
        <v>10.55</v>
      </c>
      <c r="J35" s="27"/>
      <c r="K35" s="122">
        <f t="shared" ref="K35:K41" si="6">+K16</f>
        <v>10.38</v>
      </c>
      <c r="L35" s="122"/>
      <c r="M35" s="126">
        <f t="shared" si="4"/>
        <v>-1.6113744075829328E-2</v>
      </c>
      <c r="O35" s="122">
        <f t="shared" ref="O35:O41" si="7">+O16</f>
        <v>17.309999999999999</v>
      </c>
      <c r="Q35" s="126">
        <f t="shared" si="5"/>
        <v>0.64075829383886229</v>
      </c>
    </row>
    <row r="36" spans="1:17">
      <c r="A36" s="19">
        <v>19</v>
      </c>
      <c r="B36" s="19">
        <v>68007</v>
      </c>
      <c r="C36" s="29" t="s">
        <v>27</v>
      </c>
      <c r="D36" s="30"/>
      <c r="E36" s="24">
        <v>17.22</v>
      </c>
      <c r="F36" s="25"/>
      <c r="G36" s="24">
        <v>17.41</v>
      </c>
      <c r="H36" s="26"/>
      <c r="I36" s="122">
        <v>17.579999999999998</v>
      </c>
      <c r="J36" s="27"/>
      <c r="K36" s="122">
        <f t="shared" si="6"/>
        <v>17.29</v>
      </c>
      <c r="L36" s="122"/>
      <c r="M36" s="126">
        <f t="shared" si="4"/>
        <v>-1.6496018202502793E-2</v>
      </c>
      <c r="O36" s="122">
        <f t="shared" si="7"/>
        <v>28.84</v>
      </c>
      <c r="Q36" s="126">
        <f t="shared" si="5"/>
        <v>0.64050056882821393</v>
      </c>
    </row>
    <row r="37" spans="1:17">
      <c r="A37" s="19">
        <v>20</v>
      </c>
      <c r="B37" s="19">
        <v>68008</v>
      </c>
      <c r="C37" s="29" t="s">
        <v>28</v>
      </c>
      <c r="D37" s="30"/>
      <c r="E37" s="24">
        <v>34.47</v>
      </c>
      <c r="F37" s="25"/>
      <c r="G37" s="24">
        <v>34.86</v>
      </c>
      <c r="H37" s="26"/>
      <c r="I37" s="122">
        <v>35.200000000000003</v>
      </c>
      <c r="J37" s="27"/>
      <c r="K37" s="122">
        <f t="shared" si="6"/>
        <v>34.619999999999997</v>
      </c>
      <c r="L37" s="122"/>
      <c r="M37" s="126">
        <f t="shared" si="4"/>
        <v>-1.647727272727284E-2</v>
      </c>
      <c r="O37" s="122">
        <f t="shared" si="7"/>
        <v>57.69</v>
      </c>
      <c r="Q37" s="126">
        <f t="shared" si="5"/>
        <v>0.63892045454545432</v>
      </c>
    </row>
    <row r="38" spans="1:17">
      <c r="A38" s="19">
        <v>21</v>
      </c>
      <c r="B38" s="19">
        <v>68009</v>
      </c>
      <c r="C38" s="29" t="s">
        <v>29</v>
      </c>
      <c r="D38" s="30"/>
      <c r="E38" s="24">
        <v>55.13</v>
      </c>
      <c r="F38" s="25"/>
      <c r="G38" s="24">
        <v>55.75</v>
      </c>
      <c r="H38" s="26"/>
      <c r="I38" s="122">
        <v>56.3</v>
      </c>
      <c r="J38" s="27"/>
      <c r="K38" s="122">
        <f t="shared" si="6"/>
        <v>55.38</v>
      </c>
      <c r="L38" s="122"/>
      <c r="M38" s="126">
        <f t="shared" si="4"/>
        <v>-1.63410301953818E-2</v>
      </c>
      <c r="O38" s="122">
        <f t="shared" si="7"/>
        <v>92.3</v>
      </c>
      <c r="Q38" s="126">
        <f t="shared" si="5"/>
        <v>0.6394316163410303</v>
      </c>
    </row>
    <row r="39" spans="1:17">
      <c r="A39" s="19">
        <v>22</v>
      </c>
      <c r="B39" s="19">
        <v>68005</v>
      </c>
      <c r="C39" s="29" t="s">
        <v>30</v>
      </c>
      <c r="D39" s="30"/>
      <c r="E39" s="24">
        <v>110.25</v>
      </c>
      <c r="F39" s="25"/>
      <c r="G39" s="24">
        <v>111.5</v>
      </c>
      <c r="H39" s="26"/>
      <c r="I39" s="122">
        <v>112.6</v>
      </c>
      <c r="J39" s="27"/>
      <c r="K39" s="122">
        <f t="shared" si="6"/>
        <v>110.75</v>
      </c>
      <c r="L39" s="122"/>
      <c r="M39" s="126">
        <f t="shared" si="4"/>
        <v>-1.6429840142095919E-2</v>
      </c>
      <c r="O39" s="122">
        <f t="shared" si="7"/>
        <v>184.59</v>
      </c>
      <c r="Q39" s="126">
        <f t="shared" si="5"/>
        <v>0.63934280639431629</v>
      </c>
    </row>
    <row r="40" spans="1:17">
      <c r="A40" s="19">
        <v>23</v>
      </c>
      <c r="B40" s="19">
        <v>68016</v>
      </c>
      <c r="C40" s="29" t="s">
        <v>31</v>
      </c>
      <c r="D40" s="30"/>
      <c r="E40" s="24">
        <v>172.29</v>
      </c>
      <c r="F40" s="25"/>
      <c r="G40" s="24">
        <v>174.24</v>
      </c>
      <c r="H40" s="26"/>
      <c r="I40" s="122">
        <v>175.96</v>
      </c>
      <c r="J40" s="31"/>
      <c r="K40" s="122">
        <f t="shared" si="6"/>
        <v>173.07</v>
      </c>
      <c r="L40" s="122"/>
      <c r="M40" s="126">
        <f t="shared" si="4"/>
        <v>-1.6424187315299044E-2</v>
      </c>
      <c r="O40" s="122">
        <f t="shared" si="7"/>
        <v>288.43</v>
      </c>
      <c r="Q40" s="126">
        <f t="shared" si="5"/>
        <v>0.63917935894521483</v>
      </c>
    </row>
    <row r="41" spans="1:17">
      <c r="A41" s="19">
        <v>24</v>
      </c>
      <c r="B41" s="19">
        <v>68017</v>
      </c>
      <c r="C41" s="29" t="s">
        <v>32</v>
      </c>
      <c r="D41" s="30"/>
      <c r="E41" s="24">
        <v>344.54</v>
      </c>
      <c r="F41" s="25"/>
      <c r="G41" s="24">
        <v>348.43</v>
      </c>
      <c r="H41" s="26"/>
      <c r="I41" s="122">
        <v>351.87</v>
      </c>
      <c r="J41" s="36"/>
      <c r="K41" s="122">
        <f t="shared" si="6"/>
        <v>346.1</v>
      </c>
      <c r="L41" s="122"/>
      <c r="M41" s="126">
        <f t="shared" si="4"/>
        <v>-1.6398101571603152E-2</v>
      </c>
      <c r="O41" s="122">
        <f t="shared" si="7"/>
        <v>576.86</v>
      </c>
      <c r="Q41" s="126">
        <f t="shared" si="5"/>
        <v>0.63941228294540609</v>
      </c>
    </row>
    <row r="42" spans="1:17">
      <c r="A42" s="19">
        <v>25</v>
      </c>
      <c r="B42" s="19">
        <v>68018</v>
      </c>
      <c r="C42" s="22"/>
      <c r="D42" s="30"/>
      <c r="E42" s="26"/>
      <c r="F42" s="25"/>
      <c r="G42" s="26"/>
      <c r="H42" s="26"/>
      <c r="I42" s="27"/>
      <c r="J42" s="36"/>
      <c r="K42" s="27"/>
      <c r="L42" s="27"/>
      <c r="M42" s="27"/>
    </row>
    <row r="43" spans="1:17">
      <c r="A43" s="19">
        <v>26</v>
      </c>
      <c r="B43" s="19"/>
      <c r="C43" s="33" t="s">
        <v>33</v>
      </c>
      <c r="E43" s="34">
        <v>5.03</v>
      </c>
      <c r="F43" s="46"/>
      <c r="G43" s="34">
        <v>5.09</v>
      </c>
      <c r="H43" s="47"/>
      <c r="I43" s="122">
        <v>5.14</v>
      </c>
      <c r="J43" s="27"/>
      <c r="K43" s="122">
        <v>5.0599999999999996</v>
      </c>
      <c r="L43" s="122"/>
      <c r="M43" s="126">
        <f>+K43/I43-1</f>
        <v>-1.5564202334630406E-2</v>
      </c>
      <c r="O43" s="122">
        <f>+'Water Rate Design'!I45</f>
        <v>2.98</v>
      </c>
      <c r="Q43" s="126">
        <f t="shared" si="5"/>
        <v>-0.42023346303501941</v>
      </c>
    </row>
    <row r="44" spans="1:17">
      <c r="A44" s="19"/>
      <c r="B44" s="19"/>
      <c r="C44" s="3"/>
      <c r="J44" s="27"/>
      <c r="K44" s="27"/>
      <c r="L44" s="27"/>
      <c r="M44" s="27"/>
    </row>
    <row r="45" spans="1:17">
      <c r="A45" s="19"/>
      <c r="C45" s="3"/>
      <c r="E45" s="36"/>
      <c r="F45" s="36"/>
      <c r="G45" s="36"/>
      <c r="H45" s="36"/>
      <c r="I45" s="36"/>
      <c r="J45" s="27"/>
      <c r="K45" s="27"/>
      <c r="L45" s="27"/>
      <c r="M45" s="27"/>
    </row>
    <row r="46" spans="1:17">
      <c r="A46" s="12"/>
      <c r="B46" s="12"/>
      <c r="C46" s="29"/>
      <c r="D46" s="48"/>
      <c r="J46" s="21"/>
      <c r="K46" s="21"/>
      <c r="L46" s="21"/>
      <c r="M46" s="21"/>
    </row>
    <row r="47" spans="1:17">
      <c r="A47" s="12"/>
      <c r="B47" s="12"/>
      <c r="C47" s="29"/>
      <c r="J47" s="21"/>
      <c r="K47" s="21"/>
      <c r="L47" s="21"/>
      <c r="M47" s="21"/>
    </row>
    <row r="48" spans="1:17">
      <c r="A48" s="12"/>
      <c r="B48" s="12"/>
      <c r="C48" s="29"/>
      <c r="I48" s="49"/>
      <c r="J48" s="21"/>
      <c r="K48" s="21"/>
      <c r="L48" s="21"/>
      <c r="M48" s="21"/>
    </row>
    <row r="49" spans="1:13">
      <c r="A49" s="12"/>
      <c r="B49" s="12"/>
      <c r="C49" s="29"/>
      <c r="E49" s="50"/>
      <c r="F49" s="50"/>
      <c r="G49" s="50"/>
      <c r="H49" s="50"/>
      <c r="I49" s="51"/>
      <c r="J49" s="51"/>
      <c r="K49" s="51"/>
      <c r="L49" s="51"/>
      <c r="M49" s="51"/>
    </row>
    <row r="50" spans="1:13">
      <c r="A50" s="12"/>
      <c r="B50" s="12"/>
      <c r="C50" s="29"/>
      <c r="I50" s="21"/>
      <c r="J50" s="21"/>
      <c r="K50" s="21"/>
      <c r="L50" s="21"/>
      <c r="M50" s="21"/>
    </row>
    <row r="51" spans="1:13">
      <c r="A51" s="12"/>
      <c r="B51" s="12"/>
      <c r="C51" s="52"/>
      <c r="I51" s="21"/>
      <c r="J51" s="21"/>
      <c r="K51" s="21"/>
      <c r="L51" s="21"/>
      <c r="M51" s="21"/>
    </row>
    <row r="52" spans="1:13">
      <c r="A52" s="12"/>
      <c r="B52" s="12"/>
      <c r="C52" s="52"/>
      <c r="I52" s="21"/>
      <c r="J52" s="21"/>
      <c r="K52" s="21"/>
      <c r="L52" s="21"/>
      <c r="M52" s="21"/>
    </row>
    <row r="53" spans="1:13">
      <c r="A53" s="12"/>
      <c r="B53" s="12"/>
      <c r="C53" s="53"/>
      <c r="I53" s="21"/>
      <c r="J53" s="21"/>
      <c r="K53" s="21"/>
      <c r="L53" s="21"/>
      <c r="M53" s="21"/>
    </row>
    <row r="54" spans="1:13">
      <c r="A54" s="12"/>
      <c r="B54" s="12"/>
      <c r="C54" s="29"/>
      <c r="I54" s="21"/>
      <c r="J54" s="21"/>
      <c r="K54" s="21"/>
      <c r="L54" s="21"/>
      <c r="M54" s="21"/>
    </row>
    <row r="55" spans="1:13">
      <c r="A55" s="12"/>
      <c r="B55" s="12"/>
      <c r="C55" s="29"/>
      <c r="I55" s="21"/>
      <c r="J55" s="21"/>
      <c r="K55" s="21"/>
      <c r="L55" s="21"/>
      <c r="M55" s="21"/>
    </row>
    <row r="56" spans="1:13">
      <c r="A56" s="12"/>
      <c r="B56" s="12"/>
      <c r="C56" s="29"/>
      <c r="I56" s="21"/>
      <c r="J56" s="21"/>
      <c r="K56" s="21"/>
      <c r="L56" s="21"/>
      <c r="M56" s="21"/>
    </row>
    <row r="57" spans="1:13">
      <c r="A57" s="12"/>
      <c r="B57" s="12"/>
      <c r="C57" s="29"/>
      <c r="I57" s="21"/>
      <c r="J57" s="21"/>
      <c r="K57" s="21"/>
      <c r="L57" s="21"/>
      <c r="M57" s="21"/>
    </row>
    <row r="58" spans="1:13">
      <c r="A58" s="12"/>
      <c r="B58" s="12"/>
      <c r="C58" s="29"/>
      <c r="I58" s="21"/>
      <c r="J58" s="21"/>
      <c r="K58" s="21"/>
      <c r="L58" s="21"/>
      <c r="M58" s="21"/>
    </row>
    <row r="59" spans="1:13">
      <c r="A59" s="12"/>
      <c r="B59" s="12"/>
      <c r="C59" s="29"/>
      <c r="I59" s="21"/>
      <c r="J59" s="21"/>
      <c r="K59" s="21"/>
      <c r="L59" s="21"/>
      <c r="M59" s="21"/>
    </row>
    <row r="60" spans="1:13">
      <c r="A60" s="12"/>
      <c r="B60" s="12"/>
      <c r="C60" s="29"/>
      <c r="I60" s="21"/>
      <c r="J60" s="21"/>
      <c r="K60" s="21"/>
      <c r="L60" s="21"/>
      <c r="M60" s="21"/>
    </row>
    <row r="61" spans="1:13">
      <c r="A61" s="12"/>
      <c r="B61" s="12"/>
      <c r="C61" s="41"/>
      <c r="I61" s="21"/>
      <c r="J61" s="21"/>
      <c r="K61" s="21"/>
      <c r="L61" s="21"/>
      <c r="M61" s="21"/>
    </row>
    <row r="62" spans="1:13">
      <c r="A62" s="12"/>
      <c r="B62" s="12"/>
      <c r="C62" s="29"/>
      <c r="I62" s="21"/>
      <c r="J62" s="21"/>
      <c r="K62" s="21"/>
      <c r="L62" s="21"/>
      <c r="M62" s="21"/>
    </row>
    <row r="63" spans="1:13">
      <c r="A63" s="12"/>
      <c r="B63" s="12"/>
      <c r="C63" s="29"/>
      <c r="I63" s="21"/>
      <c r="J63" s="21"/>
      <c r="K63" s="21"/>
      <c r="L63" s="21"/>
      <c r="M63" s="21"/>
    </row>
    <row r="64" spans="1:13">
      <c r="A64" s="12"/>
      <c r="B64" s="12"/>
      <c r="C64" s="29"/>
      <c r="I64" s="21"/>
      <c r="J64" s="21"/>
      <c r="K64" s="21"/>
      <c r="L64" s="21"/>
      <c r="M64" s="21"/>
    </row>
    <row r="65" spans="1:13">
      <c r="A65" s="12"/>
      <c r="B65" s="12"/>
      <c r="C65" s="29"/>
      <c r="I65" s="21"/>
      <c r="J65" s="21"/>
      <c r="K65" s="21"/>
      <c r="L65" s="21"/>
      <c r="M65" s="21"/>
    </row>
    <row r="66" spans="1:13">
      <c r="A66" s="12"/>
      <c r="B66" s="12"/>
      <c r="C66" s="29"/>
      <c r="I66" s="21"/>
      <c r="J66" s="21"/>
      <c r="K66" s="21"/>
      <c r="L66" s="21"/>
      <c r="M66" s="21"/>
    </row>
    <row r="67" spans="1:13">
      <c r="A67" s="12"/>
      <c r="B67" s="12"/>
      <c r="C67" s="29"/>
      <c r="I67" s="21"/>
      <c r="J67" s="21"/>
      <c r="K67" s="21"/>
      <c r="L67" s="21"/>
      <c r="M67" s="21"/>
    </row>
    <row r="68" spans="1:13">
      <c r="A68" s="12"/>
      <c r="B68" s="12"/>
      <c r="C68" s="29"/>
    </row>
    <row r="105" spans="9:9">
      <c r="I105" s="54"/>
    </row>
    <row r="108" spans="9:9">
      <c r="I108" s="54"/>
    </row>
    <row r="231" spans="1:8">
      <c r="E231" s="55"/>
      <c r="F231" s="55"/>
      <c r="G231" s="55"/>
      <c r="H231" s="55"/>
    </row>
    <row r="232" spans="1:8">
      <c r="E232" s="55"/>
      <c r="F232" s="55"/>
      <c r="G232" s="55"/>
      <c r="H232" s="55"/>
    </row>
    <row r="233" spans="1:8">
      <c r="E233" s="55"/>
      <c r="F233" s="55"/>
      <c r="G233" s="55"/>
      <c r="H233" s="55"/>
    </row>
    <row r="234" spans="1:8">
      <c r="A234" s="55"/>
      <c r="B234" s="55"/>
      <c r="C234" s="56"/>
      <c r="D234" s="55"/>
      <c r="E234" s="55"/>
      <c r="F234" s="55"/>
      <c r="G234" s="55"/>
      <c r="H234" s="55"/>
    </row>
    <row r="235" spans="1:8">
      <c r="A235" s="55"/>
      <c r="B235" s="55"/>
      <c r="C235" s="56"/>
      <c r="D235" s="55"/>
      <c r="E235" s="55"/>
      <c r="F235" s="55"/>
      <c r="G235" s="55"/>
      <c r="H235" s="55"/>
    </row>
    <row r="236" spans="1:8">
      <c r="A236" s="55"/>
      <c r="B236" s="55"/>
      <c r="C236" s="56"/>
      <c r="D236" s="55"/>
    </row>
    <row r="237" spans="1:8">
      <c r="A237" s="55"/>
      <c r="B237" s="55"/>
      <c r="C237" s="56"/>
      <c r="D237" s="55"/>
    </row>
    <row r="238" spans="1:8">
      <c r="A238" s="55"/>
      <c r="B238" s="55"/>
      <c r="C238" s="56"/>
      <c r="D238" s="55"/>
    </row>
    <row r="265" spans="1:8">
      <c r="E265" s="55"/>
      <c r="F265" s="55"/>
      <c r="G265" s="55"/>
      <c r="H265" s="55"/>
    </row>
    <row r="268" spans="1:8">
      <c r="A268" s="55"/>
      <c r="B268" s="55"/>
      <c r="C268" s="56"/>
      <c r="D268" s="55"/>
    </row>
    <row r="337" spans="1:2">
      <c r="A337" s="1"/>
      <c r="B337" s="1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  <row r="408" spans="1:2">
      <c r="A408" s="55"/>
      <c r="B408" s="5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1"/>
  <sheetViews>
    <sheetView topLeftCell="A4" zoomScaleNormal="100" workbookViewId="0">
      <selection activeCell="M24" sqref="M24:O24"/>
    </sheetView>
  </sheetViews>
  <sheetFormatPr defaultColWidth="10.85546875" defaultRowHeight="12"/>
  <cols>
    <col min="1" max="1" width="6.85546875" style="3" customWidth="1"/>
    <col min="2" max="2" width="8.42578125" style="3" hidden="1" customWidth="1"/>
    <col min="3" max="3" width="29" style="28" customWidth="1"/>
    <col min="4" max="4" width="1.7109375" style="3" customWidth="1"/>
    <col min="5" max="6" width="1.7109375" style="3" hidden="1" customWidth="1"/>
    <col min="7" max="7" width="10.7109375" style="3" hidden="1" customWidth="1"/>
    <col min="8" max="8" width="1.7109375" style="3" hidden="1" customWidth="1"/>
    <col min="9" max="9" width="10.7109375" style="3" hidden="1" customWidth="1"/>
    <col min="10" max="10" width="1.7109375" style="3" hidden="1" customWidth="1"/>
    <col min="11" max="11" width="10.7109375" style="3" hidden="1" customWidth="1"/>
    <col min="12" max="12" width="1.7109375" style="3" hidden="1" customWidth="1"/>
    <col min="13" max="13" width="10.7109375" style="3" customWidth="1"/>
    <col min="14" max="14" width="2.7109375" style="3" customWidth="1"/>
    <col min="15" max="15" width="11.85546875" style="3" customWidth="1"/>
    <col min="16" max="16" width="1.85546875" style="3" customWidth="1"/>
    <col min="17" max="17" width="11.85546875" style="3" customWidth="1"/>
    <col min="18" max="18" width="2.7109375" style="3" customWidth="1"/>
    <col min="19" max="19" width="10.85546875" style="3"/>
    <col min="20" max="20" width="1.5703125" style="3" customWidth="1"/>
    <col min="21" max="16384" width="10.85546875" style="3"/>
  </cols>
  <sheetData>
    <row r="1" spans="1:21">
      <c r="A1" s="1" t="s">
        <v>0</v>
      </c>
      <c r="B1" s="1"/>
      <c r="C1" s="2"/>
      <c r="E1" s="1"/>
      <c r="G1" s="1"/>
      <c r="H1" s="1"/>
      <c r="I1" s="1"/>
      <c r="J1" s="1"/>
      <c r="K1" s="1"/>
      <c r="L1" s="1"/>
      <c r="M1" s="4" t="s">
        <v>1</v>
      </c>
      <c r="O1" s="4"/>
      <c r="P1" s="4"/>
      <c r="Q1" s="4"/>
    </row>
    <row r="2" spans="1:21">
      <c r="A2" s="1"/>
      <c r="B2" s="1"/>
      <c r="C2" s="2"/>
      <c r="E2" s="1"/>
      <c r="G2" s="1"/>
      <c r="H2" s="1"/>
      <c r="I2" s="1"/>
      <c r="J2" s="1"/>
      <c r="K2" s="1"/>
      <c r="L2" s="1"/>
      <c r="M2" s="4"/>
      <c r="O2" s="4"/>
      <c r="P2" s="4"/>
      <c r="Q2" s="4"/>
    </row>
    <row r="3" spans="1:21">
      <c r="A3" s="1" t="s">
        <v>39</v>
      </c>
      <c r="B3" s="1"/>
      <c r="C3" s="2"/>
      <c r="E3" s="1"/>
      <c r="G3" s="1"/>
      <c r="H3" s="1"/>
      <c r="I3" s="1"/>
      <c r="J3" s="1"/>
      <c r="K3" s="1"/>
      <c r="L3" s="1"/>
      <c r="M3" s="4"/>
      <c r="O3" s="4"/>
      <c r="P3" s="4"/>
      <c r="Q3" s="4"/>
    </row>
    <row r="4" spans="1:21">
      <c r="A4" s="1" t="s">
        <v>4</v>
      </c>
      <c r="B4" s="1"/>
      <c r="C4" s="2"/>
      <c r="E4" s="1"/>
      <c r="G4" s="1"/>
      <c r="H4" s="1"/>
      <c r="I4" s="1"/>
      <c r="J4" s="1"/>
      <c r="K4" s="1"/>
      <c r="L4" s="1"/>
      <c r="M4" s="5"/>
      <c r="O4" s="4"/>
      <c r="P4" s="4"/>
      <c r="Q4" s="4"/>
    </row>
    <row r="5" spans="1:21">
      <c r="A5" s="1" t="s">
        <v>6</v>
      </c>
      <c r="B5" s="1"/>
      <c r="C5" s="2"/>
      <c r="E5" s="1"/>
      <c r="G5" s="1"/>
      <c r="H5" s="1"/>
      <c r="I5" s="1"/>
      <c r="J5" s="1"/>
      <c r="K5" s="1"/>
      <c r="L5" s="1"/>
      <c r="M5" s="4"/>
      <c r="O5" s="4"/>
      <c r="P5" s="4"/>
      <c r="Q5" s="4"/>
    </row>
    <row r="6" spans="1:21">
      <c r="A6" s="1" t="s">
        <v>8</v>
      </c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4"/>
      <c r="N6" s="4"/>
      <c r="O6" s="4"/>
      <c r="P6" s="4"/>
      <c r="Q6" s="4"/>
    </row>
    <row r="7" spans="1:21">
      <c r="A7" s="1" t="s">
        <v>9</v>
      </c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21">
      <c r="A8" s="6" t="s">
        <v>10</v>
      </c>
      <c r="B8" s="6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1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U9" s="7"/>
    </row>
    <row r="10" spans="1:21">
      <c r="A10" s="9"/>
      <c r="B10" s="10" t="s">
        <v>11</v>
      </c>
      <c r="C10" s="11"/>
      <c r="D10" s="12"/>
      <c r="E10" s="57"/>
      <c r="F10" s="11"/>
      <c r="G10" s="11"/>
      <c r="I10" s="11"/>
      <c r="J10" s="13"/>
      <c r="K10" s="11"/>
      <c r="L10" s="13"/>
      <c r="M10" s="11"/>
      <c r="O10" s="11"/>
      <c r="P10" s="11"/>
      <c r="Q10" s="11"/>
      <c r="R10" s="11"/>
      <c r="S10" s="11"/>
      <c r="U10" s="11"/>
    </row>
    <row r="11" spans="1:21">
      <c r="C11" s="2"/>
      <c r="D11" s="1"/>
      <c r="E11" s="58"/>
      <c r="F11" s="1"/>
      <c r="G11" s="12" t="s">
        <v>12</v>
      </c>
      <c r="H11" s="1"/>
      <c r="I11" s="12" t="s">
        <v>12</v>
      </c>
      <c r="J11" s="1"/>
      <c r="K11" s="12" t="s">
        <v>12</v>
      </c>
      <c r="L11" s="1"/>
      <c r="N11" s="12"/>
      <c r="O11" s="12"/>
      <c r="P11" s="12"/>
      <c r="Q11" s="12" t="s">
        <v>184</v>
      </c>
      <c r="S11" s="12" t="s">
        <v>183</v>
      </c>
      <c r="U11" s="12" t="s">
        <v>184</v>
      </c>
    </row>
    <row r="12" spans="1:21">
      <c r="A12" s="12" t="s">
        <v>14</v>
      </c>
      <c r="B12" s="12" t="s">
        <v>15</v>
      </c>
      <c r="C12" s="2"/>
      <c r="D12" s="1"/>
      <c r="E12" s="58"/>
      <c r="F12" s="1"/>
      <c r="G12" s="12" t="s">
        <v>16</v>
      </c>
      <c r="H12" s="1"/>
      <c r="I12" s="12" t="s">
        <v>16</v>
      </c>
      <c r="J12" s="1"/>
      <c r="K12" s="12" t="s">
        <v>16</v>
      </c>
      <c r="L12" s="1"/>
      <c r="M12" s="12" t="s">
        <v>13</v>
      </c>
      <c r="N12" s="12"/>
      <c r="O12" s="12" t="s">
        <v>18</v>
      </c>
      <c r="P12" s="12"/>
      <c r="Q12" s="12" t="s">
        <v>185</v>
      </c>
      <c r="S12" s="12" t="s">
        <v>182</v>
      </c>
      <c r="U12" s="12" t="s">
        <v>185</v>
      </c>
    </row>
    <row r="13" spans="1:21" ht="14.25">
      <c r="A13" s="14" t="s">
        <v>19</v>
      </c>
      <c r="B13" s="14" t="s">
        <v>20</v>
      </c>
      <c r="C13" s="15" t="s">
        <v>21</v>
      </c>
      <c r="D13" s="16"/>
      <c r="E13" s="17"/>
      <c r="F13" s="59"/>
      <c r="G13" s="17" t="s">
        <v>40</v>
      </c>
      <c r="H13" s="17"/>
      <c r="I13" s="60" t="s">
        <v>41</v>
      </c>
      <c r="J13" s="17"/>
      <c r="K13" s="17" t="s">
        <v>23</v>
      </c>
      <c r="L13" s="17"/>
      <c r="M13" s="130" t="s">
        <v>17</v>
      </c>
      <c r="N13" s="18"/>
      <c r="O13" s="14" t="s">
        <v>17</v>
      </c>
      <c r="P13" s="124"/>
      <c r="Q13" s="125" t="s">
        <v>186</v>
      </c>
      <c r="S13" s="14" t="s">
        <v>17</v>
      </c>
      <c r="U13" s="14" t="s">
        <v>186</v>
      </c>
    </row>
    <row r="14" spans="1:21">
      <c r="A14" s="19">
        <v>1</v>
      </c>
      <c r="B14" s="19"/>
      <c r="C14" s="20" t="s">
        <v>24</v>
      </c>
      <c r="M14" s="21"/>
      <c r="N14" s="21"/>
      <c r="O14" s="21"/>
      <c r="P14" s="21"/>
      <c r="Q14" s="21"/>
    </row>
    <row r="15" spans="1:21">
      <c r="A15" s="19">
        <v>2</v>
      </c>
      <c r="B15" s="19">
        <v>68001</v>
      </c>
      <c r="C15" s="22" t="s">
        <v>25</v>
      </c>
      <c r="D15" s="23"/>
      <c r="E15" s="26"/>
      <c r="F15" s="32"/>
      <c r="G15" s="24">
        <v>11.95</v>
      </c>
      <c r="H15" s="26"/>
      <c r="I15" s="24">
        <v>13.82</v>
      </c>
      <c r="J15" s="26"/>
      <c r="K15" s="24">
        <v>13.96</v>
      </c>
      <c r="L15" s="26"/>
      <c r="M15" s="122">
        <v>13.76</v>
      </c>
      <c r="N15" s="27"/>
      <c r="O15" s="122">
        <v>16.79</v>
      </c>
      <c r="P15" s="122"/>
      <c r="Q15" s="126">
        <f t="shared" ref="Q15:Q22" si="0">+O15/M15-1</f>
        <v>0.22020348837209291</v>
      </c>
      <c r="S15" s="122">
        <f>+'Water Rate Design'!I9</f>
        <v>11.54</v>
      </c>
      <c r="U15" s="126">
        <f>+S15/M15-1</f>
        <v>-0.16133720930232565</v>
      </c>
    </row>
    <row r="16" spans="1:21">
      <c r="A16" s="19">
        <v>3</v>
      </c>
      <c r="B16" s="19">
        <v>68002</v>
      </c>
      <c r="C16" s="28" t="s">
        <v>26</v>
      </c>
      <c r="D16" s="23"/>
      <c r="E16" s="26"/>
      <c r="F16" s="32"/>
      <c r="G16" s="24">
        <v>11.95</v>
      </c>
      <c r="H16" s="26"/>
      <c r="I16" s="24">
        <v>20.73</v>
      </c>
      <c r="J16" s="26"/>
      <c r="K16" s="24">
        <v>20.94</v>
      </c>
      <c r="L16" s="26"/>
      <c r="M16" s="122">
        <v>20.66</v>
      </c>
      <c r="N16" s="27"/>
      <c r="O16" s="122">
        <v>25.19</v>
      </c>
      <c r="P16" s="122"/>
      <c r="Q16" s="126">
        <f t="shared" si="0"/>
        <v>0.21926427879961286</v>
      </c>
      <c r="S16" s="122">
        <f>+'Water Rate Design'!I10</f>
        <v>17.309999999999999</v>
      </c>
      <c r="U16" s="126">
        <f t="shared" ref="U16:U22" si="1">+S16/M16-1</f>
        <v>-0.16214908034849962</v>
      </c>
    </row>
    <row r="17" spans="1:21">
      <c r="A17" s="19">
        <v>4</v>
      </c>
      <c r="B17" s="19">
        <v>68003</v>
      </c>
      <c r="C17" s="29" t="s">
        <v>27</v>
      </c>
      <c r="D17" s="30"/>
      <c r="E17" s="26"/>
      <c r="F17" s="32"/>
      <c r="G17" s="24">
        <v>11.95</v>
      </c>
      <c r="H17" s="26"/>
      <c r="I17" s="24">
        <v>34.549999999999997</v>
      </c>
      <c r="J17" s="26"/>
      <c r="K17" s="24">
        <v>34.9</v>
      </c>
      <c r="L17" s="26"/>
      <c r="M17" s="122">
        <v>34.42</v>
      </c>
      <c r="N17" s="31"/>
      <c r="O17" s="122">
        <v>41.98</v>
      </c>
      <c r="P17" s="122"/>
      <c r="Q17" s="126">
        <f t="shared" si="0"/>
        <v>0.21963974433468891</v>
      </c>
      <c r="S17" s="122">
        <f>+'Water Rate Design'!I11</f>
        <v>28.84</v>
      </c>
      <c r="U17" s="126">
        <f t="shared" si="1"/>
        <v>-0.16211504938988963</v>
      </c>
    </row>
    <row r="18" spans="1:21">
      <c r="A18" s="19">
        <v>5</v>
      </c>
      <c r="B18" s="19">
        <v>68004</v>
      </c>
      <c r="C18" s="29" t="s">
        <v>28</v>
      </c>
      <c r="D18" s="30"/>
      <c r="E18" s="26"/>
      <c r="F18" s="32"/>
      <c r="G18" s="24">
        <v>11.95</v>
      </c>
      <c r="H18" s="26"/>
      <c r="I18" s="24">
        <v>69.099999999999994</v>
      </c>
      <c r="J18" s="26"/>
      <c r="K18" s="24">
        <v>69.8</v>
      </c>
      <c r="L18" s="26"/>
      <c r="M18" s="122">
        <v>68.84</v>
      </c>
      <c r="N18" s="27"/>
      <c r="O18" s="122">
        <v>83.95</v>
      </c>
      <c r="P18" s="122"/>
      <c r="Q18" s="126">
        <f t="shared" si="0"/>
        <v>0.21949447995351545</v>
      </c>
      <c r="S18" s="122">
        <f>+'Water Rate Design'!I12</f>
        <v>57.69</v>
      </c>
      <c r="U18" s="126">
        <f t="shared" si="1"/>
        <v>-0.16196978500871595</v>
      </c>
    </row>
    <row r="19" spans="1:21">
      <c r="A19" s="19">
        <v>6</v>
      </c>
      <c r="B19" s="19"/>
      <c r="C19" s="29" t="s">
        <v>29</v>
      </c>
      <c r="D19" s="30"/>
      <c r="E19" s="26"/>
      <c r="F19" s="32"/>
      <c r="G19" s="24">
        <v>11.95</v>
      </c>
      <c r="H19" s="26"/>
      <c r="I19" s="24">
        <v>110.56</v>
      </c>
      <c r="J19" s="26"/>
      <c r="K19" s="24">
        <v>111.69</v>
      </c>
      <c r="L19" s="26"/>
      <c r="M19" s="122">
        <v>110.16</v>
      </c>
      <c r="N19" s="27"/>
      <c r="O19" s="122">
        <v>134.32</v>
      </c>
      <c r="P19" s="122"/>
      <c r="Q19" s="126">
        <f t="shared" si="0"/>
        <v>0.21931735657225859</v>
      </c>
      <c r="S19" s="122">
        <f>+'Water Rate Design'!I13</f>
        <v>92.3</v>
      </c>
      <c r="U19" s="126">
        <f t="shared" si="1"/>
        <v>-0.16212781408859844</v>
      </c>
    </row>
    <row r="20" spans="1:21">
      <c r="A20" s="19">
        <v>7</v>
      </c>
      <c r="B20" s="19"/>
      <c r="C20" s="29" t="s">
        <v>30</v>
      </c>
      <c r="D20" s="30"/>
      <c r="E20" s="26"/>
      <c r="F20" s="32"/>
      <c r="G20" s="24">
        <v>11.95</v>
      </c>
      <c r="H20" s="26"/>
      <c r="I20" s="24">
        <v>221.12</v>
      </c>
      <c r="J20" s="26"/>
      <c r="K20" s="24">
        <v>223.38</v>
      </c>
      <c r="L20" s="26"/>
      <c r="M20" s="122">
        <v>220.32</v>
      </c>
      <c r="N20" s="27"/>
      <c r="O20" s="122">
        <v>251.85</v>
      </c>
      <c r="P20" s="122"/>
      <c r="Q20" s="126">
        <f t="shared" si="0"/>
        <v>0.14311002178649246</v>
      </c>
      <c r="S20" s="122">
        <f>+'Water Rate Design'!I14</f>
        <v>184.59</v>
      </c>
      <c r="U20" s="126">
        <f t="shared" si="1"/>
        <v>-0.16217320261437906</v>
      </c>
    </row>
    <row r="21" spans="1:21">
      <c r="A21" s="19">
        <v>8</v>
      </c>
      <c r="B21" s="19"/>
      <c r="C21" s="29" t="s">
        <v>31</v>
      </c>
      <c r="D21" s="30"/>
      <c r="E21" s="26"/>
      <c r="F21" s="32"/>
      <c r="G21" s="24">
        <v>11.95</v>
      </c>
      <c r="H21" s="26"/>
      <c r="I21" s="24">
        <v>345.5</v>
      </c>
      <c r="J21" s="26"/>
      <c r="K21" s="24">
        <v>349.02</v>
      </c>
      <c r="L21" s="26"/>
      <c r="M21" s="122">
        <v>344.24</v>
      </c>
      <c r="N21" s="27"/>
      <c r="O21" s="122">
        <v>419.75</v>
      </c>
      <c r="P21" s="122"/>
      <c r="Q21" s="126">
        <f t="shared" si="0"/>
        <v>0.21935277713223322</v>
      </c>
      <c r="S21" s="122">
        <f>+'Water Rate Design'!I15</f>
        <v>288.43</v>
      </c>
      <c r="U21" s="126">
        <f t="shared" si="1"/>
        <v>-0.1621252614455031</v>
      </c>
    </row>
    <row r="22" spans="1:21">
      <c r="A22" s="19">
        <v>9</v>
      </c>
      <c r="B22" s="19"/>
      <c r="C22" s="29" t="s">
        <v>32</v>
      </c>
      <c r="D22" s="30"/>
      <c r="E22" s="26"/>
      <c r="F22" s="32"/>
      <c r="G22" s="24">
        <v>11.95</v>
      </c>
      <c r="H22" s="26"/>
      <c r="I22" s="24">
        <v>691</v>
      </c>
      <c r="J22" s="26"/>
      <c r="K22" s="24">
        <v>698.05</v>
      </c>
      <c r="L22" s="26"/>
      <c r="M22" s="122">
        <v>688.48</v>
      </c>
      <c r="N22" s="27"/>
      <c r="O22" s="122">
        <v>839.5</v>
      </c>
      <c r="P22" s="122"/>
      <c r="Q22" s="126">
        <f t="shared" si="0"/>
        <v>0.21935277713223322</v>
      </c>
      <c r="S22" s="122">
        <f>+'Water Rate Design'!I16</f>
        <v>576.86</v>
      </c>
      <c r="U22" s="126">
        <f t="shared" si="1"/>
        <v>-0.1621252614455031</v>
      </c>
    </row>
    <row r="23" spans="1:21">
      <c r="A23" s="19">
        <v>10</v>
      </c>
      <c r="B23" s="19"/>
      <c r="C23" s="22"/>
      <c r="D23" s="30"/>
      <c r="E23" s="26"/>
      <c r="F23" s="32"/>
      <c r="G23" s="26"/>
      <c r="H23" s="26"/>
      <c r="I23" s="26"/>
      <c r="J23" s="26"/>
      <c r="K23" s="26"/>
      <c r="L23" s="26"/>
      <c r="N23" s="27"/>
    </row>
    <row r="24" spans="1:21">
      <c r="A24" s="19">
        <v>11</v>
      </c>
      <c r="B24" s="19"/>
      <c r="C24" s="33" t="s">
        <v>33</v>
      </c>
      <c r="D24" s="30"/>
      <c r="E24" s="36"/>
      <c r="F24" s="36"/>
      <c r="G24" s="37">
        <v>9.5299999999999994</v>
      </c>
      <c r="H24" s="36"/>
      <c r="I24" s="34">
        <v>8.7799999999999994</v>
      </c>
      <c r="J24" s="36"/>
      <c r="K24" s="34">
        <v>8.8699999999999992</v>
      </c>
      <c r="L24" s="36"/>
      <c r="M24" s="122">
        <v>8.68</v>
      </c>
      <c r="N24" s="27"/>
      <c r="O24" s="122">
        <v>10.59</v>
      </c>
      <c r="Q24" s="126">
        <f>+O24/M24-1</f>
        <v>0.22004608294930872</v>
      </c>
    </row>
    <row r="25" spans="1:21">
      <c r="A25" s="19"/>
      <c r="B25" s="19"/>
      <c r="C25" s="33" t="str">
        <f>+'Water Rate Design'!B40</f>
        <v>0-8k</v>
      </c>
      <c r="D25" s="30"/>
      <c r="E25" s="36"/>
      <c r="F25" s="36"/>
      <c r="G25" s="37"/>
      <c r="H25" s="36"/>
      <c r="I25" s="34"/>
      <c r="J25" s="36"/>
      <c r="K25" s="34"/>
      <c r="L25" s="36"/>
      <c r="M25" s="122"/>
      <c r="N25" s="31"/>
      <c r="O25" s="122"/>
      <c r="P25" s="122"/>
      <c r="Q25" s="122"/>
      <c r="S25" s="122">
        <f>+'Water Rate Design'!I40</f>
        <v>1.97</v>
      </c>
      <c r="U25" s="126">
        <f>S25/O$24-1</f>
        <v>-0.81397544853635506</v>
      </c>
    </row>
    <row r="26" spans="1:21">
      <c r="A26" s="19"/>
      <c r="B26" s="19"/>
      <c r="C26" s="33" t="str">
        <f>+'Water Rate Design'!B41</f>
        <v>8-16k</v>
      </c>
      <c r="D26" s="30"/>
      <c r="E26" s="36"/>
      <c r="F26" s="36"/>
      <c r="G26" s="37"/>
      <c r="H26" s="36"/>
      <c r="I26" s="34"/>
      <c r="J26" s="36"/>
      <c r="K26" s="34"/>
      <c r="L26" s="36"/>
      <c r="M26" s="122"/>
      <c r="N26" s="31"/>
      <c r="O26" s="122"/>
      <c r="P26" s="122"/>
      <c r="Q26" s="122"/>
      <c r="S26" s="122">
        <f>+'Water Rate Design'!I41</f>
        <v>2.95</v>
      </c>
      <c r="U26" s="126">
        <f t="shared" ref="U26:U27" si="2">S26/O$24-1</f>
        <v>-0.7214353163361662</v>
      </c>
    </row>
    <row r="27" spans="1:21">
      <c r="A27" s="19"/>
      <c r="B27" s="19"/>
      <c r="C27" s="33" t="str">
        <f>+'Water Rate Design'!B42</f>
        <v>+16k</v>
      </c>
      <c r="D27" s="30"/>
      <c r="E27" s="36"/>
      <c r="F27" s="36"/>
      <c r="G27" s="37"/>
      <c r="H27" s="36"/>
      <c r="I27" s="34"/>
      <c r="J27" s="36"/>
      <c r="K27" s="34"/>
      <c r="L27" s="36"/>
      <c r="M27" s="122"/>
      <c r="N27" s="31"/>
      <c r="O27" s="122"/>
      <c r="P27" s="122"/>
      <c r="Q27" s="122"/>
      <c r="S27" s="122">
        <f>+'Water Rate Design'!I42</f>
        <v>3.93</v>
      </c>
      <c r="U27" s="126">
        <f t="shared" si="2"/>
        <v>-0.62889518413597734</v>
      </c>
    </row>
    <row r="28" spans="1:21">
      <c r="A28" s="19">
        <v>12</v>
      </c>
      <c r="B28" s="19"/>
      <c r="C28" s="38"/>
      <c r="D28" s="30"/>
      <c r="E28" s="36"/>
      <c r="F28" s="36"/>
      <c r="G28" s="36"/>
      <c r="H28" s="36"/>
      <c r="I28" s="40"/>
      <c r="J28" s="40"/>
      <c r="K28" s="40"/>
      <c r="L28" s="40"/>
      <c r="M28" s="122"/>
      <c r="N28" s="27"/>
      <c r="O28" s="122"/>
      <c r="P28" s="122"/>
      <c r="Q28" s="122"/>
      <c r="S28" s="122"/>
    </row>
    <row r="29" spans="1:21">
      <c r="A29" s="19">
        <v>13</v>
      </c>
      <c r="B29" s="19"/>
      <c r="C29" s="41" t="s">
        <v>42</v>
      </c>
      <c r="D29" s="30"/>
      <c r="E29" s="36"/>
      <c r="F29" s="36"/>
      <c r="G29" s="36"/>
      <c r="H29" s="36"/>
      <c r="I29" s="40"/>
      <c r="J29" s="40"/>
      <c r="K29" s="40"/>
      <c r="L29" s="40"/>
      <c r="M29" s="122"/>
      <c r="N29" s="27"/>
      <c r="O29" s="122"/>
      <c r="P29" s="122"/>
      <c r="Q29" s="122"/>
      <c r="S29" s="122"/>
    </row>
    <row r="30" spans="1:21">
      <c r="A30" s="19">
        <v>14</v>
      </c>
      <c r="B30" s="19">
        <v>68044</v>
      </c>
      <c r="C30" s="29" t="s">
        <v>29</v>
      </c>
      <c r="D30" s="30"/>
      <c r="E30" s="40"/>
      <c r="F30" s="36"/>
      <c r="G30" s="61">
        <v>95.63</v>
      </c>
      <c r="H30" s="36"/>
      <c r="I30" s="24">
        <v>110.56</v>
      </c>
      <c r="J30" s="47"/>
      <c r="K30" s="24">
        <v>111.69</v>
      </c>
      <c r="L30" s="47"/>
      <c r="M30" s="122">
        <v>110.16</v>
      </c>
      <c r="N30" s="27"/>
      <c r="O30" s="122">
        <v>134.44</v>
      </c>
      <c r="P30" s="122"/>
      <c r="Q30" s="126">
        <f>+O30/M30-1</f>
        <v>0.22040668119099482</v>
      </c>
      <c r="S30" s="122">
        <f>+S19</f>
        <v>92.3</v>
      </c>
      <c r="U30" s="126">
        <f t="shared" ref="U30" si="3">+S30/M30-1</f>
        <v>-0.16212781408859844</v>
      </c>
    </row>
    <row r="31" spans="1:21">
      <c r="A31" s="19">
        <v>15</v>
      </c>
      <c r="B31" s="19"/>
      <c r="C31" s="33" t="s">
        <v>33</v>
      </c>
      <c r="D31" s="30"/>
      <c r="E31" s="40"/>
      <c r="F31" s="36"/>
      <c r="G31" s="61">
        <v>9.5299999999999994</v>
      </c>
      <c r="H31" s="36"/>
      <c r="I31" s="34">
        <v>8.7799999999999994</v>
      </c>
      <c r="J31" s="47"/>
      <c r="K31" s="34">
        <v>8.8699999999999992</v>
      </c>
      <c r="L31" s="47"/>
      <c r="M31" s="122">
        <v>8.68</v>
      </c>
      <c r="N31" s="27"/>
      <c r="O31" s="122">
        <v>10.59</v>
      </c>
      <c r="Q31" s="126">
        <f>+O31/M31-1</f>
        <v>0.22004608294930872</v>
      </c>
    </row>
    <row r="32" spans="1:21">
      <c r="A32" s="19"/>
      <c r="B32" s="19"/>
      <c r="C32" s="33" t="str">
        <f>+'Water Rate Design'!B40</f>
        <v>0-8k</v>
      </c>
      <c r="D32" s="30"/>
      <c r="E32" s="36"/>
      <c r="F32" s="36"/>
      <c r="G32" s="37"/>
      <c r="H32" s="36"/>
      <c r="I32" s="34"/>
      <c r="J32" s="36"/>
      <c r="K32" s="34"/>
      <c r="L32" s="36"/>
      <c r="M32" s="122"/>
      <c r="N32" s="31"/>
      <c r="O32" s="122"/>
      <c r="P32" s="122"/>
      <c r="Q32" s="122"/>
      <c r="S32" s="122">
        <f>+S25</f>
        <v>1.97</v>
      </c>
      <c r="U32" s="126">
        <f>S32/O$24-1</f>
        <v>-0.81397544853635506</v>
      </c>
    </row>
    <row r="33" spans="1:21">
      <c r="A33" s="19"/>
      <c r="B33" s="19"/>
      <c r="C33" s="33" t="str">
        <f>+'Water Rate Design'!B41</f>
        <v>8-16k</v>
      </c>
      <c r="D33" s="30"/>
      <c r="E33" s="36"/>
      <c r="F33" s="36"/>
      <c r="G33" s="37"/>
      <c r="H33" s="36"/>
      <c r="I33" s="34"/>
      <c r="J33" s="36"/>
      <c r="K33" s="34"/>
      <c r="L33" s="36"/>
      <c r="M33" s="122"/>
      <c r="N33" s="31"/>
      <c r="O33" s="122"/>
      <c r="P33" s="122"/>
      <c r="Q33" s="122"/>
      <c r="S33" s="122">
        <f t="shared" ref="S33:S34" si="4">+S26</f>
        <v>2.95</v>
      </c>
      <c r="U33" s="126">
        <f t="shared" ref="U33:U34" si="5">S33/O$24-1</f>
        <v>-0.7214353163361662</v>
      </c>
    </row>
    <row r="34" spans="1:21">
      <c r="A34" s="19"/>
      <c r="B34" s="19"/>
      <c r="C34" s="33" t="str">
        <f>+'Water Rate Design'!B42</f>
        <v>+16k</v>
      </c>
      <c r="D34" s="30"/>
      <c r="E34" s="36"/>
      <c r="F34" s="36"/>
      <c r="G34" s="37"/>
      <c r="H34" s="36"/>
      <c r="I34" s="34"/>
      <c r="J34" s="36"/>
      <c r="K34" s="34"/>
      <c r="L34" s="36"/>
      <c r="M34" s="122"/>
      <c r="N34" s="31"/>
      <c r="O34" s="122"/>
      <c r="P34" s="122"/>
      <c r="Q34" s="122"/>
      <c r="S34" s="122">
        <f t="shared" si="4"/>
        <v>3.93</v>
      </c>
      <c r="U34" s="126">
        <f t="shared" si="5"/>
        <v>-0.62889518413597734</v>
      </c>
    </row>
    <row r="35" spans="1:21">
      <c r="A35" s="19">
        <v>16</v>
      </c>
      <c r="B35" s="19"/>
      <c r="C35" s="3"/>
      <c r="E35" s="44"/>
      <c r="F35" s="44"/>
      <c r="G35" s="44"/>
      <c r="H35" s="44"/>
      <c r="I35" s="44"/>
      <c r="J35" s="44"/>
      <c r="K35" s="44"/>
      <c r="L35" s="44"/>
      <c r="N35" s="31"/>
    </row>
    <row r="36" spans="1:21">
      <c r="A36" s="19">
        <v>17</v>
      </c>
      <c r="B36" s="19"/>
      <c r="C36" s="41" t="s">
        <v>43</v>
      </c>
      <c r="D36" s="42"/>
      <c r="E36" s="44"/>
      <c r="F36" s="44"/>
      <c r="G36" s="44"/>
      <c r="H36" s="44"/>
      <c r="I36" s="44"/>
      <c r="J36" s="44"/>
      <c r="K36" s="44"/>
      <c r="L36" s="44"/>
      <c r="M36" s="122"/>
      <c r="N36" s="27"/>
      <c r="O36" s="122"/>
      <c r="P36" s="122"/>
      <c r="Q36" s="122"/>
      <c r="S36" s="122"/>
    </row>
    <row r="37" spans="1:21">
      <c r="A37" s="19">
        <v>18</v>
      </c>
      <c r="B37" s="19">
        <v>68006</v>
      </c>
      <c r="C37" s="22" t="s">
        <v>38</v>
      </c>
      <c r="D37" s="23"/>
      <c r="E37" s="26"/>
      <c r="F37" s="32"/>
      <c r="G37" s="24">
        <v>11.95</v>
      </c>
      <c r="H37" s="26"/>
      <c r="I37" s="24">
        <v>13.82</v>
      </c>
      <c r="J37" s="26"/>
      <c r="K37" s="24">
        <v>13.96</v>
      </c>
      <c r="L37" s="26"/>
      <c r="M37" s="122">
        <v>13.76</v>
      </c>
      <c r="N37" s="27"/>
      <c r="O37" s="122">
        <f>+O15</f>
        <v>16.79</v>
      </c>
      <c r="P37" s="122"/>
      <c r="Q37" s="126">
        <f t="shared" ref="Q37:Q44" si="6">+O37/M37-1</f>
        <v>0.22020348837209291</v>
      </c>
      <c r="S37" s="122">
        <f>+S15</f>
        <v>11.54</v>
      </c>
      <c r="U37" s="126">
        <f t="shared" ref="U37:U44" si="7">+S37/M37-1</f>
        <v>-0.16133720930232565</v>
      </c>
    </row>
    <row r="38" spans="1:21">
      <c r="A38" s="19">
        <v>19</v>
      </c>
      <c r="B38" s="19">
        <v>68006</v>
      </c>
      <c r="C38" s="45" t="s">
        <v>26</v>
      </c>
      <c r="D38" s="30"/>
      <c r="E38" s="26"/>
      <c r="F38" s="32"/>
      <c r="G38" s="24">
        <v>17.940000000000001</v>
      </c>
      <c r="H38" s="26"/>
      <c r="I38" s="24">
        <v>20.73</v>
      </c>
      <c r="J38" s="26"/>
      <c r="K38" s="24">
        <v>20.94</v>
      </c>
      <c r="L38" s="26"/>
      <c r="M38" s="122">
        <v>20.66</v>
      </c>
      <c r="N38" s="27"/>
      <c r="O38" s="122">
        <f t="shared" ref="O38:O44" si="8">+O16</f>
        <v>25.19</v>
      </c>
      <c r="P38" s="122"/>
      <c r="Q38" s="126">
        <f t="shared" si="6"/>
        <v>0.21926427879961286</v>
      </c>
      <c r="S38" s="122">
        <f t="shared" ref="S38:S44" si="9">+S16</f>
        <v>17.309999999999999</v>
      </c>
      <c r="U38" s="126">
        <f t="shared" si="7"/>
        <v>-0.16214908034849962</v>
      </c>
    </row>
    <row r="39" spans="1:21">
      <c r="A39" s="19">
        <v>20</v>
      </c>
      <c r="B39" s="19">
        <v>68007</v>
      </c>
      <c r="C39" s="29" t="s">
        <v>27</v>
      </c>
      <c r="D39" s="30"/>
      <c r="E39" s="26"/>
      <c r="F39" s="32"/>
      <c r="G39" s="24">
        <v>29.36</v>
      </c>
      <c r="H39" s="26"/>
      <c r="I39" s="24">
        <v>34.549999999999997</v>
      </c>
      <c r="J39" s="26"/>
      <c r="K39" s="24">
        <v>34.9</v>
      </c>
      <c r="L39" s="26"/>
      <c r="M39" s="122">
        <v>34.42</v>
      </c>
      <c r="N39" s="27"/>
      <c r="O39" s="122">
        <f t="shared" si="8"/>
        <v>41.98</v>
      </c>
      <c r="P39" s="122"/>
      <c r="Q39" s="126">
        <f t="shared" si="6"/>
        <v>0.21963974433468891</v>
      </c>
      <c r="S39" s="122">
        <f t="shared" si="9"/>
        <v>28.84</v>
      </c>
      <c r="U39" s="126">
        <f t="shared" si="7"/>
        <v>-0.16211504938988963</v>
      </c>
    </row>
    <row r="40" spans="1:21">
      <c r="A40" s="19">
        <v>21</v>
      </c>
      <c r="B40" s="19">
        <v>68008</v>
      </c>
      <c r="C40" s="29" t="s">
        <v>28</v>
      </c>
      <c r="D40" s="30"/>
      <c r="E40" s="26"/>
      <c r="F40" s="32"/>
      <c r="G40" s="24">
        <v>58.69</v>
      </c>
      <c r="H40" s="26"/>
      <c r="I40" s="24">
        <v>69.099999999999994</v>
      </c>
      <c r="J40" s="26"/>
      <c r="K40" s="24">
        <v>69.8</v>
      </c>
      <c r="L40" s="26"/>
      <c r="M40" s="122">
        <v>68.84</v>
      </c>
      <c r="N40" s="27"/>
      <c r="O40" s="122">
        <f t="shared" si="8"/>
        <v>83.95</v>
      </c>
      <c r="P40" s="122"/>
      <c r="Q40" s="126">
        <f t="shared" si="6"/>
        <v>0.21949447995351545</v>
      </c>
      <c r="S40" s="122">
        <f t="shared" si="9"/>
        <v>57.69</v>
      </c>
      <c r="U40" s="126">
        <f t="shared" si="7"/>
        <v>-0.16196978500871595</v>
      </c>
    </row>
    <row r="41" spans="1:21">
      <c r="A41" s="19">
        <v>22</v>
      </c>
      <c r="B41" s="19">
        <v>68009</v>
      </c>
      <c r="C41" s="29" t="s">
        <v>29</v>
      </c>
      <c r="D41" s="30"/>
      <c r="E41" s="26"/>
      <c r="F41" s="32"/>
      <c r="G41" s="24">
        <v>95.63</v>
      </c>
      <c r="H41" s="26"/>
      <c r="I41" s="24">
        <v>110.56</v>
      </c>
      <c r="J41" s="26"/>
      <c r="K41" s="24">
        <v>111.69</v>
      </c>
      <c r="L41" s="26"/>
      <c r="M41" s="122">
        <v>110.16</v>
      </c>
      <c r="N41" s="27"/>
      <c r="O41" s="122">
        <f t="shared" si="8"/>
        <v>134.32</v>
      </c>
      <c r="P41" s="122"/>
      <c r="Q41" s="126">
        <f t="shared" si="6"/>
        <v>0.21931735657225859</v>
      </c>
      <c r="S41" s="122">
        <f t="shared" si="9"/>
        <v>92.3</v>
      </c>
      <c r="U41" s="126">
        <f t="shared" si="7"/>
        <v>-0.16212781408859844</v>
      </c>
    </row>
    <row r="42" spans="1:21">
      <c r="A42" s="19">
        <v>23</v>
      </c>
      <c r="B42" s="19">
        <v>68005</v>
      </c>
      <c r="C42" s="29" t="s">
        <v>30</v>
      </c>
      <c r="D42" s="30"/>
      <c r="E42" s="26"/>
      <c r="F42" s="32"/>
      <c r="G42" s="24">
        <v>191.26</v>
      </c>
      <c r="H42" s="26"/>
      <c r="I42" s="24">
        <v>221.12</v>
      </c>
      <c r="J42" s="26"/>
      <c r="K42" s="24">
        <v>223.38</v>
      </c>
      <c r="L42" s="26"/>
      <c r="M42" s="122">
        <v>220.32</v>
      </c>
      <c r="N42" s="27"/>
      <c r="O42" s="122">
        <f t="shared" si="8"/>
        <v>251.85</v>
      </c>
      <c r="P42" s="122"/>
      <c r="Q42" s="126">
        <f t="shared" si="6"/>
        <v>0.14311002178649246</v>
      </c>
      <c r="S42" s="122">
        <f t="shared" si="9"/>
        <v>184.59</v>
      </c>
      <c r="U42" s="126">
        <f t="shared" si="7"/>
        <v>-0.16217320261437906</v>
      </c>
    </row>
    <row r="43" spans="1:21">
      <c r="A43" s="19">
        <v>24</v>
      </c>
      <c r="B43" s="19">
        <v>68016</v>
      </c>
      <c r="C43" s="29" t="s">
        <v>31</v>
      </c>
      <c r="D43" s="30"/>
      <c r="E43" s="26"/>
      <c r="F43" s="32"/>
      <c r="G43" s="24">
        <v>298.83999999999997</v>
      </c>
      <c r="H43" s="26"/>
      <c r="I43" s="24">
        <v>345.5</v>
      </c>
      <c r="J43" s="26"/>
      <c r="K43" s="24">
        <v>349.02</v>
      </c>
      <c r="L43" s="26"/>
      <c r="M43" s="122">
        <v>344.24</v>
      </c>
      <c r="N43" s="31"/>
      <c r="O43" s="122">
        <f t="shared" si="8"/>
        <v>419.75</v>
      </c>
      <c r="P43" s="122"/>
      <c r="Q43" s="126">
        <f t="shared" si="6"/>
        <v>0.21935277713223322</v>
      </c>
      <c r="S43" s="122">
        <f t="shared" si="9"/>
        <v>288.43</v>
      </c>
      <c r="U43" s="126">
        <f t="shared" si="7"/>
        <v>-0.1621252614455031</v>
      </c>
    </row>
    <row r="44" spans="1:21">
      <c r="A44" s="19">
        <v>25</v>
      </c>
      <c r="B44" s="19">
        <v>68017</v>
      </c>
      <c r="C44" s="29" t="s">
        <v>32</v>
      </c>
      <c r="D44" s="30"/>
      <c r="E44" s="26"/>
      <c r="F44" s="32"/>
      <c r="G44" s="24">
        <v>597.67999999999995</v>
      </c>
      <c r="H44" s="26"/>
      <c r="I44" s="24">
        <v>691</v>
      </c>
      <c r="J44" s="26"/>
      <c r="K44" s="24">
        <v>698.05</v>
      </c>
      <c r="L44" s="26"/>
      <c r="M44" s="122">
        <v>688.48</v>
      </c>
      <c r="N44" s="36"/>
      <c r="O44" s="122">
        <f t="shared" si="8"/>
        <v>839.5</v>
      </c>
      <c r="P44" s="122"/>
      <c r="Q44" s="126">
        <f t="shared" si="6"/>
        <v>0.21935277713223322</v>
      </c>
      <c r="S44" s="122">
        <f t="shared" si="9"/>
        <v>576.86</v>
      </c>
      <c r="U44" s="126">
        <f t="shared" si="7"/>
        <v>-0.1621252614455031</v>
      </c>
    </row>
    <row r="45" spans="1:21">
      <c r="A45" s="19">
        <v>26</v>
      </c>
      <c r="B45" s="19">
        <v>68018</v>
      </c>
      <c r="C45" s="22"/>
      <c r="D45" s="30"/>
      <c r="E45" s="26"/>
      <c r="F45" s="32"/>
      <c r="G45" s="26"/>
      <c r="H45" s="26"/>
      <c r="I45" s="26"/>
      <c r="J45" s="26"/>
      <c r="K45" s="26"/>
      <c r="L45" s="26"/>
      <c r="M45" s="122"/>
      <c r="N45" s="36"/>
      <c r="O45" s="122"/>
      <c r="P45" s="122"/>
      <c r="Q45" s="122"/>
      <c r="S45" s="122"/>
    </row>
    <row r="46" spans="1:21">
      <c r="A46" s="19">
        <v>27</v>
      </c>
      <c r="B46" s="19"/>
      <c r="C46" s="33" t="s">
        <v>33</v>
      </c>
      <c r="E46" s="47"/>
      <c r="F46" s="62"/>
      <c r="G46" s="34">
        <v>9.5299999999999994</v>
      </c>
      <c r="H46" s="47"/>
      <c r="I46" s="34">
        <v>8.7799999999999994</v>
      </c>
      <c r="J46" s="47"/>
      <c r="K46" s="34">
        <v>8.8699999999999992</v>
      </c>
      <c r="L46" s="47"/>
      <c r="M46" s="122">
        <v>8.68</v>
      </c>
      <c r="N46" s="27"/>
      <c r="O46" s="122">
        <f>+O24</f>
        <v>10.59</v>
      </c>
      <c r="P46" s="122"/>
      <c r="Q46" s="126">
        <f>+O46/M46-1</f>
        <v>0.22004608294930872</v>
      </c>
      <c r="S46" s="122">
        <f>+'Water Rate Design'!I45</f>
        <v>2.98</v>
      </c>
      <c r="U46" s="126">
        <f>+S46/M46-1</f>
        <v>-0.65668202764976957</v>
      </c>
    </row>
    <row r="47" spans="1:21">
      <c r="A47" s="19">
        <v>28</v>
      </c>
      <c r="B47" s="19"/>
      <c r="C47" s="3"/>
      <c r="N47" s="27"/>
      <c r="O47" s="27"/>
      <c r="P47" s="27"/>
      <c r="Q47" s="27"/>
    </row>
    <row r="48" spans="1:21">
      <c r="A48" s="19"/>
      <c r="C48" s="3"/>
      <c r="E48" s="36"/>
      <c r="F48" s="36"/>
      <c r="G48" s="36"/>
      <c r="H48" s="36"/>
      <c r="I48" s="36"/>
      <c r="J48" s="36"/>
      <c r="K48" s="36"/>
      <c r="L48" s="36"/>
      <c r="M48" s="36"/>
      <c r="N48" s="27"/>
      <c r="O48" s="27"/>
      <c r="P48" s="27"/>
      <c r="Q48" s="27"/>
    </row>
    <row r="49" spans="1:17">
      <c r="A49" s="12"/>
      <c r="B49" s="12"/>
      <c r="C49" s="29"/>
      <c r="D49" s="48"/>
      <c r="N49" s="21"/>
      <c r="O49" s="21"/>
      <c r="P49" s="21"/>
      <c r="Q49" s="21"/>
    </row>
    <row r="50" spans="1:17">
      <c r="A50" s="12"/>
      <c r="B50" s="12"/>
      <c r="C50" s="29"/>
      <c r="N50" s="21"/>
      <c r="O50" s="21"/>
      <c r="P50" s="21"/>
      <c r="Q50" s="21"/>
    </row>
    <row r="51" spans="1:17">
      <c r="A51" s="12"/>
      <c r="B51" s="12"/>
      <c r="C51" s="29"/>
      <c r="M51" s="49"/>
      <c r="N51" s="21"/>
      <c r="O51" s="21"/>
      <c r="P51" s="21"/>
      <c r="Q51" s="21"/>
    </row>
    <row r="52" spans="1:17">
      <c r="A52" s="12"/>
      <c r="B52" s="12"/>
      <c r="C52" s="29"/>
      <c r="E52" s="50"/>
      <c r="F52" s="50"/>
      <c r="G52" s="50"/>
      <c r="H52" s="50"/>
      <c r="I52" s="50"/>
      <c r="J52" s="50"/>
      <c r="K52" s="50"/>
      <c r="L52" s="50"/>
      <c r="M52" s="51"/>
      <c r="N52" s="51"/>
      <c r="O52" s="51"/>
      <c r="P52" s="51"/>
      <c r="Q52" s="51"/>
    </row>
    <row r="53" spans="1:17">
      <c r="A53" s="12"/>
      <c r="B53" s="12"/>
      <c r="C53" s="29"/>
      <c r="M53" s="21"/>
      <c r="N53" s="21"/>
      <c r="O53" s="21"/>
      <c r="P53" s="21"/>
      <c r="Q53" s="21"/>
    </row>
    <row r="54" spans="1:17">
      <c r="A54" s="12"/>
      <c r="B54" s="12"/>
      <c r="C54" s="52"/>
      <c r="M54" s="21"/>
      <c r="N54" s="21"/>
      <c r="O54" s="21"/>
      <c r="P54" s="21"/>
      <c r="Q54" s="21"/>
    </row>
    <row r="55" spans="1:17">
      <c r="A55" s="12"/>
      <c r="B55" s="12"/>
      <c r="C55" s="52"/>
      <c r="M55" s="21"/>
      <c r="N55" s="21"/>
      <c r="O55" s="21"/>
      <c r="P55" s="21"/>
      <c r="Q55" s="21"/>
    </row>
    <row r="56" spans="1:17">
      <c r="A56" s="12"/>
      <c r="B56" s="12"/>
      <c r="C56" s="53"/>
      <c r="M56" s="21"/>
      <c r="N56" s="21"/>
      <c r="O56" s="21"/>
      <c r="P56" s="21"/>
      <c r="Q56" s="21"/>
    </row>
    <row r="57" spans="1:17">
      <c r="A57" s="12"/>
      <c r="B57" s="12"/>
      <c r="C57" s="29"/>
      <c r="M57" s="21"/>
      <c r="N57" s="21"/>
      <c r="O57" s="21"/>
      <c r="P57" s="21"/>
      <c r="Q57" s="21"/>
    </row>
    <row r="58" spans="1:17">
      <c r="A58" s="12"/>
      <c r="B58" s="12"/>
      <c r="C58" s="29"/>
      <c r="M58" s="21"/>
      <c r="N58" s="21"/>
      <c r="O58" s="21"/>
      <c r="P58" s="21"/>
      <c r="Q58" s="21"/>
    </row>
    <row r="59" spans="1:17">
      <c r="A59" s="12"/>
      <c r="B59" s="12"/>
      <c r="C59" s="29"/>
      <c r="M59" s="21"/>
      <c r="N59" s="21"/>
      <c r="O59" s="21"/>
      <c r="P59" s="21"/>
      <c r="Q59" s="21"/>
    </row>
    <row r="60" spans="1:17">
      <c r="A60" s="12"/>
      <c r="B60" s="12"/>
      <c r="C60" s="29"/>
      <c r="M60" s="21"/>
      <c r="N60" s="21"/>
      <c r="O60" s="21"/>
      <c r="P60" s="21"/>
      <c r="Q60" s="21"/>
    </row>
    <row r="61" spans="1:17">
      <c r="A61" s="12"/>
      <c r="B61" s="12"/>
      <c r="C61" s="29"/>
      <c r="M61" s="21"/>
      <c r="N61" s="21"/>
      <c r="O61" s="21"/>
      <c r="P61" s="21"/>
      <c r="Q61" s="21"/>
    </row>
    <row r="62" spans="1:17">
      <c r="A62" s="12"/>
      <c r="B62" s="12"/>
      <c r="C62" s="29"/>
      <c r="M62" s="21"/>
      <c r="N62" s="21"/>
      <c r="O62" s="21"/>
      <c r="P62" s="21"/>
      <c r="Q62" s="21"/>
    </row>
    <row r="63" spans="1:17">
      <c r="A63" s="12"/>
      <c r="B63" s="12"/>
      <c r="C63" s="29"/>
      <c r="M63" s="21"/>
      <c r="N63" s="21"/>
      <c r="O63" s="21"/>
      <c r="P63" s="21"/>
      <c r="Q63" s="21"/>
    </row>
    <row r="64" spans="1:17">
      <c r="A64" s="12"/>
      <c r="B64" s="12"/>
      <c r="C64" s="41"/>
      <c r="M64" s="21"/>
      <c r="N64" s="21"/>
      <c r="O64" s="21"/>
      <c r="P64" s="21"/>
      <c r="Q64" s="21"/>
    </row>
    <row r="65" spans="1:17">
      <c r="A65" s="12"/>
      <c r="B65" s="12"/>
      <c r="C65" s="29"/>
      <c r="M65" s="21"/>
      <c r="N65" s="21"/>
      <c r="O65" s="21"/>
      <c r="P65" s="21"/>
      <c r="Q65" s="21"/>
    </row>
    <row r="66" spans="1:17">
      <c r="A66" s="12"/>
      <c r="B66" s="12"/>
      <c r="C66" s="29"/>
      <c r="M66" s="21"/>
      <c r="N66" s="21"/>
      <c r="O66" s="21"/>
      <c r="P66" s="21"/>
      <c r="Q66" s="21"/>
    </row>
    <row r="67" spans="1:17">
      <c r="A67" s="12"/>
      <c r="B67" s="12"/>
      <c r="C67" s="29"/>
      <c r="M67" s="21"/>
      <c r="N67" s="21"/>
      <c r="O67" s="21"/>
      <c r="P67" s="21"/>
      <c r="Q67" s="21"/>
    </row>
    <row r="68" spans="1:17">
      <c r="A68" s="12"/>
      <c r="B68" s="12"/>
      <c r="C68" s="29"/>
      <c r="M68" s="21"/>
      <c r="N68" s="21"/>
      <c r="O68" s="21"/>
      <c r="P68" s="21"/>
      <c r="Q68" s="21"/>
    </row>
    <row r="69" spans="1:17">
      <c r="A69" s="12"/>
      <c r="B69" s="12"/>
      <c r="C69" s="29"/>
      <c r="M69" s="21"/>
      <c r="N69" s="21"/>
      <c r="O69" s="21"/>
      <c r="P69" s="21"/>
      <c r="Q69" s="21"/>
    </row>
    <row r="70" spans="1:17">
      <c r="A70" s="12"/>
      <c r="B70" s="12"/>
      <c r="C70" s="29"/>
      <c r="M70" s="21"/>
      <c r="N70" s="21"/>
      <c r="O70" s="21"/>
      <c r="P70" s="21"/>
      <c r="Q70" s="21"/>
    </row>
    <row r="71" spans="1:17">
      <c r="A71" s="12"/>
      <c r="B71" s="12"/>
      <c r="C71" s="29"/>
    </row>
    <row r="108" spans="13:13">
      <c r="M108" s="54"/>
    </row>
    <row r="111" spans="13:13">
      <c r="M111" s="54"/>
    </row>
    <row r="234" spans="1:12">
      <c r="E234" s="55"/>
      <c r="F234" s="55"/>
      <c r="G234" s="55"/>
      <c r="H234" s="55"/>
      <c r="I234" s="55"/>
      <c r="J234" s="55"/>
      <c r="K234" s="55"/>
      <c r="L234" s="55"/>
    </row>
    <row r="235" spans="1:12">
      <c r="E235" s="55"/>
      <c r="F235" s="55"/>
      <c r="G235" s="55"/>
      <c r="H235" s="55"/>
      <c r="I235" s="55"/>
      <c r="J235" s="55"/>
      <c r="K235" s="55"/>
      <c r="L235" s="55"/>
    </row>
    <row r="236" spans="1:12">
      <c r="E236" s="55"/>
      <c r="F236" s="55"/>
      <c r="G236" s="55"/>
      <c r="H236" s="55"/>
      <c r="I236" s="55"/>
      <c r="J236" s="55"/>
      <c r="K236" s="55"/>
      <c r="L236" s="55"/>
    </row>
    <row r="237" spans="1:12">
      <c r="A237" s="55"/>
      <c r="B237" s="55"/>
      <c r="C237" s="56"/>
      <c r="D237" s="55"/>
      <c r="E237" s="55"/>
      <c r="F237" s="55"/>
      <c r="G237" s="55"/>
      <c r="H237" s="55"/>
      <c r="I237" s="55"/>
      <c r="J237" s="55"/>
      <c r="K237" s="55"/>
      <c r="L237" s="55"/>
    </row>
    <row r="238" spans="1:12">
      <c r="A238" s="55"/>
      <c r="B238" s="55"/>
      <c r="C238" s="56"/>
      <c r="D238" s="55"/>
      <c r="E238" s="55"/>
      <c r="F238" s="55"/>
      <c r="G238" s="55"/>
      <c r="H238" s="55"/>
      <c r="I238" s="55"/>
      <c r="J238" s="55"/>
      <c r="K238" s="55"/>
      <c r="L238" s="55"/>
    </row>
    <row r="239" spans="1:12">
      <c r="A239" s="55"/>
      <c r="B239" s="55"/>
      <c r="C239" s="56"/>
      <c r="D239" s="55"/>
    </row>
    <row r="240" spans="1:12">
      <c r="A240" s="55"/>
      <c r="B240" s="55"/>
      <c r="C240" s="56"/>
      <c r="D240" s="55"/>
    </row>
    <row r="241" spans="1:4">
      <c r="A241" s="55"/>
      <c r="B241" s="55"/>
      <c r="C241" s="56"/>
      <c r="D241" s="55"/>
    </row>
    <row r="268" spans="1:12">
      <c r="E268" s="55"/>
      <c r="F268" s="55"/>
      <c r="G268" s="55"/>
      <c r="H268" s="55"/>
      <c r="I268" s="55"/>
      <c r="J268" s="55"/>
      <c r="K268" s="55"/>
      <c r="L268" s="55"/>
    </row>
    <row r="271" spans="1:12">
      <c r="A271" s="55"/>
      <c r="B271" s="55"/>
      <c r="C271" s="56"/>
      <c r="D271" s="55"/>
    </row>
    <row r="340" spans="1:2">
      <c r="A340" s="1"/>
      <c r="B340" s="1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  <row r="408" spans="1:2">
      <c r="A408" s="55"/>
      <c r="B408" s="55"/>
    </row>
    <row r="409" spans="1:2">
      <c r="A409" s="55"/>
      <c r="B409" s="55"/>
    </row>
    <row r="410" spans="1:2">
      <c r="A410" s="55"/>
      <c r="B410" s="55"/>
    </row>
    <row r="411" spans="1:2">
      <c r="A411" s="55"/>
      <c r="B411" s="55"/>
    </row>
  </sheetData>
  <pageMargins left="0.7" right="0.7" top="0.75" bottom="0.75" header="0.3" footer="0.3"/>
  <pageSetup scale="8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6"/>
  <sheetViews>
    <sheetView topLeftCell="A13" zoomScaleNormal="100" workbookViewId="0">
      <selection activeCell="M41" sqref="M41"/>
    </sheetView>
  </sheetViews>
  <sheetFormatPr defaultColWidth="10.85546875" defaultRowHeight="12"/>
  <cols>
    <col min="1" max="1" width="6.85546875" style="3" customWidth="1"/>
    <col min="2" max="2" width="8.42578125" style="3" hidden="1" customWidth="1"/>
    <col min="3" max="3" width="29" style="28" customWidth="1"/>
    <col min="4" max="4" width="1.7109375" style="3" customWidth="1"/>
    <col min="5" max="5" width="10.7109375" style="3" hidden="1" customWidth="1"/>
    <col min="6" max="6" width="1.7109375" style="3" hidden="1" customWidth="1"/>
    <col min="7" max="7" width="10.7109375" style="3" hidden="1" customWidth="1"/>
    <col min="8" max="8" width="1.7109375" style="3" hidden="1" customWidth="1"/>
    <col min="9" max="9" width="10.7109375" style="3" hidden="1" customWidth="1"/>
    <col min="10" max="10" width="1.7109375" style="3" hidden="1" customWidth="1"/>
    <col min="11" max="11" width="10.7109375" style="3" customWidth="1"/>
    <col min="12" max="12" width="2.7109375" style="3" customWidth="1"/>
    <col min="13" max="13" width="11.85546875" style="3" customWidth="1"/>
    <col min="14" max="14" width="1.7109375" style="3" customWidth="1"/>
    <col min="15" max="15" width="11.28515625" style="3" bestFit="1" customWidth="1"/>
    <col min="16" max="16" width="2.7109375" style="3" customWidth="1"/>
    <col min="17" max="17" width="10.85546875" style="3"/>
    <col min="18" max="18" width="1.7109375" style="3" customWidth="1"/>
    <col min="19" max="19" width="11.28515625" style="3" bestFit="1" customWidth="1"/>
    <col min="20" max="16384" width="10.85546875" style="3"/>
  </cols>
  <sheetData>
    <row r="1" spans="1:22">
      <c r="A1" s="1" t="s">
        <v>0</v>
      </c>
      <c r="B1" s="1"/>
      <c r="C1" s="2"/>
      <c r="E1" s="1"/>
      <c r="G1" s="1"/>
      <c r="H1" s="1"/>
      <c r="I1" s="1"/>
      <c r="J1" s="1"/>
      <c r="K1" s="4" t="s">
        <v>1</v>
      </c>
      <c r="M1" s="4"/>
      <c r="N1" s="4"/>
      <c r="O1" s="4"/>
    </row>
    <row r="2" spans="1:22">
      <c r="A2" s="1"/>
      <c r="B2" s="1"/>
      <c r="C2" s="2"/>
      <c r="E2" s="1"/>
      <c r="G2" s="1"/>
      <c r="H2" s="1"/>
      <c r="I2" s="1"/>
      <c r="J2" s="1"/>
      <c r="K2" s="4"/>
      <c r="M2" s="4"/>
      <c r="N2" s="4"/>
      <c r="O2" s="4"/>
    </row>
    <row r="3" spans="1:22">
      <c r="A3" s="1" t="s">
        <v>44</v>
      </c>
      <c r="B3" s="1"/>
      <c r="C3" s="2"/>
      <c r="E3" s="1"/>
      <c r="G3" s="1"/>
      <c r="H3" s="1"/>
      <c r="I3" s="1"/>
      <c r="J3" s="1"/>
      <c r="K3" s="4"/>
      <c r="M3" s="4"/>
      <c r="N3" s="4"/>
      <c r="O3" s="4"/>
    </row>
    <row r="4" spans="1:22">
      <c r="A4" s="1" t="s">
        <v>4</v>
      </c>
      <c r="B4" s="1"/>
      <c r="C4" s="2"/>
      <c r="E4" s="1"/>
      <c r="G4" s="1"/>
      <c r="H4" s="1"/>
      <c r="I4" s="1"/>
      <c r="J4" s="1"/>
      <c r="K4" s="5"/>
      <c r="M4" s="4"/>
      <c r="N4" s="4"/>
      <c r="O4" s="4"/>
    </row>
    <row r="5" spans="1:22">
      <c r="A5" s="1" t="s">
        <v>6</v>
      </c>
      <c r="B5" s="1"/>
      <c r="C5" s="2"/>
      <c r="E5" s="1"/>
      <c r="G5" s="1"/>
      <c r="H5" s="1"/>
      <c r="I5" s="1"/>
      <c r="J5" s="1"/>
      <c r="K5" s="4"/>
      <c r="M5" s="4"/>
      <c r="N5" s="4"/>
      <c r="O5" s="4"/>
    </row>
    <row r="6" spans="1:22">
      <c r="A6" s="1" t="s">
        <v>8</v>
      </c>
      <c r="B6" s="1"/>
      <c r="C6" s="2"/>
      <c r="D6" s="1"/>
      <c r="E6" s="1"/>
      <c r="F6" s="1"/>
      <c r="G6" s="1"/>
      <c r="H6" s="1"/>
      <c r="I6" s="1"/>
      <c r="J6" s="1"/>
      <c r="K6" s="4"/>
      <c r="L6" s="4"/>
      <c r="M6" s="4"/>
      <c r="N6" s="4"/>
      <c r="O6" s="4"/>
    </row>
    <row r="7" spans="1:22">
      <c r="A7" s="1" t="s">
        <v>9</v>
      </c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6" t="s">
        <v>10</v>
      </c>
      <c r="B8" s="6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127"/>
      <c r="O9" s="7"/>
      <c r="P9" s="7"/>
      <c r="Q9" s="7"/>
      <c r="S9" s="7"/>
    </row>
    <row r="10" spans="1:22">
      <c r="A10" s="9"/>
      <c r="B10" s="10" t="s">
        <v>11</v>
      </c>
      <c r="C10" s="11"/>
      <c r="D10" s="12"/>
      <c r="E10" s="11"/>
      <c r="F10" s="11"/>
      <c r="G10" s="11"/>
      <c r="I10" s="11"/>
      <c r="J10" s="13"/>
      <c r="K10" s="11"/>
      <c r="M10" s="11"/>
      <c r="N10" s="11"/>
      <c r="O10" s="11"/>
      <c r="P10" s="11"/>
      <c r="Q10" s="11"/>
      <c r="S10" s="11"/>
    </row>
    <row r="11" spans="1:22">
      <c r="C11" s="2"/>
      <c r="D11" s="1"/>
      <c r="E11" s="12" t="s">
        <v>12</v>
      </c>
      <c r="F11" s="1"/>
      <c r="G11" s="12" t="s">
        <v>12</v>
      </c>
      <c r="H11" s="1"/>
      <c r="I11" s="12" t="s">
        <v>12</v>
      </c>
      <c r="J11" s="1"/>
      <c r="L11" s="12"/>
      <c r="M11" s="12"/>
      <c r="N11" s="12"/>
      <c r="O11" s="12" t="s">
        <v>184</v>
      </c>
      <c r="Q11" s="12" t="s">
        <v>183</v>
      </c>
      <c r="S11" s="12" t="s">
        <v>184</v>
      </c>
      <c r="V11" s="63"/>
    </row>
    <row r="12" spans="1:22">
      <c r="A12" s="12" t="s">
        <v>14</v>
      </c>
      <c r="B12" s="12" t="s">
        <v>15</v>
      </c>
      <c r="C12" s="2"/>
      <c r="D12" s="1"/>
      <c r="E12" s="12" t="s">
        <v>16</v>
      </c>
      <c r="F12" s="1"/>
      <c r="G12" s="12" t="s">
        <v>16</v>
      </c>
      <c r="H12" s="1"/>
      <c r="I12" s="12" t="s">
        <v>16</v>
      </c>
      <c r="J12" s="1"/>
      <c r="K12" s="12" t="s">
        <v>13</v>
      </c>
      <c r="L12" s="12"/>
      <c r="M12" s="12" t="s">
        <v>18</v>
      </c>
      <c r="N12" s="12"/>
      <c r="O12" s="12" t="s">
        <v>185</v>
      </c>
      <c r="Q12" s="12" t="s">
        <v>182</v>
      </c>
      <c r="S12" s="12" t="s">
        <v>185</v>
      </c>
    </row>
    <row r="13" spans="1:22" ht="14.25">
      <c r="A13" s="14" t="s">
        <v>19</v>
      </c>
      <c r="B13" s="14" t="s">
        <v>20</v>
      </c>
      <c r="C13" s="15" t="s">
        <v>21</v>
      </c>
      <c r="D13" s="16"/>
      <c r="E13" s="17" t="s">
        <v>45</v>
      </c>
      <c r="F13" s="59"/>
      <c r="G13" s="17" t="s">
        <v>46</v>
      </c>
      <c r="H13" s="17"/>
      <c r="I13" s="17" t="s">
        <v>47</v>
      </c>
      <c r="J13" s="17"/>
      <c r="K13" s="130" t="s">
        <v>17</v>
      </c>
      <c r="L13" s="18"/>
      <c r="M13" s="14" t="s">
        <v>17</v>
      </c>
      <c r="N13" s="124"/>
      <c r="O13" s="125" t="s">
        <v>186</v>
      </c>
      <c r="Q13" s="14" t="s">
        <v>17</v>
      </c>
      <c r="S13" s="14" t="s">
        <v>186</v>
      </c>
    </row>
    <row r="14" spans="1:22">
      <c r="A14" s="19">
        <v>1</v>
      </c>
      <c r="B14" s="19"/>
      <c r="C14" s="20" t="s">
        <v>24</v>
      </c>
      <c r="K14" s="21"/>
      <c r="L14" s="21"/>
      <c r="M14" s="21"/>
      <c r="N14" s="21"/>
      <c r="O14" s="21"/>
    </row>
    <row r="15" spans="1:22">
      <c r="A15" s="19">
        <v>2</v>
      </c>
      <c r="B15" s="19">
        <v>68001</v>
      </c>
      <c r="C15" s="22" t="s">
        <v>25</v>
      </c>
      <c r="D15" s="23"/>
      <c r="E15" s="24">
        <v>16.510000000000002</v>
      </c>
      <c r="F15" s="32"/>
      <c r="G15" s="24">
        <v>15.57</v>
      </c>
      <c r="H15" s="25"/>
      <c r="I15" s="24">
        <v>15.83</v>
      </c>
      <c r="J15" s="26"/>
      <c r="K15" s="122">
        <v>15.94</v>
      </c>
      <c r="L15" s="27"/>
      <c r="M15" s="122">
        <v>19.100000000000001</v>
      </c>
      <c r="N15" s="122"/>
      <c r="O15" s="126">
        <f>+M15/K15-1</f>
        <v>0.19824341279799262</v>
      </c>
      <c r="Q15" s="122">
        <f>+'Water Rate Design'!I9</f>
        <v>11.54</v>
      </c>
      <c r="S15" s="126">
        <f>+Q15/K15-1</f>
        <v>-0.27603513174404015</v>
      </c>
    </row>
    <row r="16" spans="1:22">
      <c r="A16" s="19">
        <v>3</v>
      </c>
      <c r="B16" s="19">
        <v>68002</v>
      </c>
      <c r="C16" s="28" t="s">
        <v>26</v>
      </c>
      <c r="D16" s="23"/>
      <c r="E16" s="24">
        <v>24.77</v>
      </c>
      <c r="F16" s="32"/>
      <c r="G16" s="24">
        <v>23.36</v>
      </c>
      <c r="H16" s="25"/>
      <c r="I16" s="24">
        <v>23.75</v>
      </c>
      <c r="J16" s="26"/>
      <c r="K16" s="122">
        <v>23.92</v>
      </c>
      <c r="L16" s="27"/>
      <c r="M16" s="122">
        <f>ROUND(+M$15/K$15*K16,2)</f>
        <v>28.66</v>
      </c>
      <c r="N16" s="122"/>
      <c r="O16" s="126">
        <f t="shared" ref="O16:O22" si="0">+M16/K16-1</f>
        <v>0.19816053511705678</v>
      </c>
      <c r="Q16" s="122">
        <f>+'Water Rate Design'!I10</f>
        <v>17.309999999999999</v>
      </c>
      <c r="S16" s="126">
        <f t="shared" ref="S16:S22" si="1">+Q16/K16-1</f>
        <v>-0.27633779264214053</v>
      </c>
    </row>
    <row r="17" spans="1:19">
      <c r="A17" s="19">
        <v>4</v>
      </c>
      <c r="B17" s="19">
        <v>68003</v>
      </c>
      <c r="C17" s="29" t="s">
        <v>27</v>
      </c>
      <c r="D17" s="30"/>
      <c r="E17" s="24">
        <v>41.28</v>
      </c>
      <c r="F17" s="32"/>
      <c r="G17" s="24">
        <v>38.92</v>
      </c>
      <c r="H17" s="25"/>
      <c r="I17" s="24">
        <v>39.56</v>
      </c>
      <c r="J17" s="26"/>
      <c r="K17" s="122">
        <v>39.840000000000003</v>
      </c>
      <c r="L17" s="31"/>
      <c r="M17" s="122">
        <v>47.73</v>
      </c>
      <c r="N17" s="122"/>
      <c r="O17" s="126">
        <f t="shared" si="0"/>
        <v>0.1980421686746987</v>
      </c>
      <c r="Q17" s="122">
        <f>+'Water Rate Design'!I11</f>
        <v>28.84</v>
      </c>
      <c r="S17" s="126">
        <f t="shared" si="1"/>
        <v>-0.27610441767068283</v>
      </c>
    </row>
    <row r="18" spans="1:19">
      <c r="A18" s="19">
        <v>5</v>
      </c>
      <c r="B18" s="19">
        <v>68004</v>
      </c>
      <c r="C18" s="29" t="s">
        <v>28</v>
      </c>
      <c r="D18" s="30"/>
      <c r="E18" s="24">
        <v>82.55</v>
      </c>
      <c r="F18" s="32"/>
      <c r="G18" s="24">
        <v>77.84</v>
      </c>
      <c r="H18" s="25"/>
      <c r="I18" s="24">
        <v>79.12</v>
      </c>
      <c r="J18" s="26"/>
      <c r="K18" s="122">
        <v>79.680000000000007</v>
      </c>
      <c r="L18" s="27"/>
      <c r="M18" s="122">
        <v>95.46</v>
      </c>
      <c r="N18" s="122"/>
      <c r="O18" s="126">
        <f t="shared" si="0"/>
        <v>0.1980421686746987</v>
      </c>
      <c r="Q18" s="122">
        <f>+'Water Rate Design'!I12</f>
        <v>57.69</v>
      </c>
      <c r="S18" s="126">
        <f t="shared" si="1"/>
        <v>-0.27597891566265065</v>
      </c>
    </row>
    <row r="19" spans="1:19">
      <c r="A19" s="19">
        <v>6</v>
      </c>
      <c r="B19" s="19"/>
      <c r="C19" s="29" t="s">
        <v>29</v>
      </c>
      <c r="D19" s="30"/>
      <c r="E19" s="24">
        <v>132.08000000000001</v>
      </c>
      <c r="F19" s="32"/>
      <c r="G19" s="24">
        <v>124.54</v>
      </c>
      <c r="H19" s="25"/>
      <c r="I19" s="24">
        <v>126.59</v>
      </c>
      <c r="J19" s="26"/>
      <c r="K19" s="122">
        <v>127.49</v>
      </c>
      <c r="L19" s="27"/>
      <c r="M19" s="122">
        <v>152.75</v>
      </c>
      <c r="N19" s="122"/>
      <c r="O19" s="126">
        <f t="shared" si="0"/>
        <v>0.19813318691662096</v>
      </c>
      <c r="Q19" s="122">
        <f>+'Water Rate Design'!I13</f>
        <v>92.3</v>
      </c>
      <c r="S19" s="126">
        <f t="shared" si="1"/>
        <v>-0.27602164875676527</v>
      </c>
    </row>
    <row r="20" spans="1:19">
      <c r="A20" s="19">
        <v>7</v>
      </c>
      <c r="B20" s="19"/>
      <c r="C20" s="29" t="s">
        <v>30</v>
      </c>
      <c r="D20" s="30"/>
      <c r="E20" s="24">
        <v>264.16000000000003</v>
      </c>
      <c r="F20" s="32"/>
      <c r="G20" s="24">
        <v>249.08</v>
      </c>
      <c r="H20" s="25"/>
      <c r="I20" s="24">
        <v>253.19</v>
      </c>
      <c r="J20" s="26"/>
      <c r="K20" s="122">
        <v>254.98</v>
      </c>
      <c r="L20" s="27"/>
      <c r="M20" s="122">
        <v>305.49</v>
      </c>
      <c r="N20" s="122"/>
      <c r="O20" s="126">
        <f t="shared" si="0"/>
        <v>0.1980939681543652</v>
      </c>
      <c r="Q20" s="122">
        <f>+'Water Rate Design'!I14</f>
        <v>184.59</v>
      </c>
      <c r="S20" s="126">
        <f t="shared" si="1"/>
        <v>-0.27606086751902104</v>
      </c>
    </row>
    <row r="21" spans="1:19">
      <c r="A21" s="19">
        <v>8</v>
      </c>
      <c r="B21" s="19"/>
      <c r="C21" s="29" t="s">
        <v>31</v>
      </c>
      <c r="D21" s="30"/>
      <c r="E21" s="24">
        <v>412.75</v>
      </c>
      <c r="F21" s="32"/>
      <c r="G21" s="24">
        <v>389.18</v>
      </c>
      <c r="H21" s="25"/>
      <c r="I21" s="24">
        <v>395.6</v>
      </c>
      <c r="J21" s="26"/>
      <c r="K21" s="122">
        <v>398.4</v>
      </c>
      <c r="L21" s="27"/>
      <c r="M21" s="122">
        <v>477.32</v>
      </c>
      <c r="N21" s="122"/>
      <c r="O21" s="126">
        <f t="shared" si="0"/>
        <v>0.19809236947791176</v>
      </c>
      <c r="Q21" s="122">
        <f>+'Water Rate Design'!I15</f>
        <v>288.43</v>
      </c>
      <c r="S21" s="126">
        <f t="shared" si="1"/>
        <v>-0.27602911646586337</v>
      </c>
    </row>
    <row r="22" spans="1:19">
      <c r="A22" s="19">
        <v>9</v>
      </c>
      <c r="B22" s="19"/>
      <c r="C22" s="29" t="s">
        <v>32</v>
      </c>
      <c r="D22" s="30"/>
      <c r="E22" s="24">
        <v>825.5</v>
      </c>
      <c r="F22" s="32"/>
      <c r="G22" s="24">
        <v>778.36</v>
      </c>
      <c r="H22" s="25"/>
      <c r="I22" s="24">
        <v>791.2</v>
      </c>
      <c r="J22" s="26"/>
      <c r="K22" s="122">
        <v>796.8</v>
      </c>
      <c r="L22" s="27"/>
      <c r="M22" s="122">
        <v>954.65</v>
      </c>
      <c r="N22" s="122"/>
      <c r="O22" s="126">
        <f t="shared" si="0"/>
        <v>0.1981049196787148</v>
      </c>
      <c r="Q22" s="122">
        <f>+'Water Rate Design'!I16</f>
        <v>576.86</v>
      </c>
      <c r="S22" s="126">
        <f t="shared" si="1"/>
        <v>-0.27602911646586337</v>
      </c>
    </row>
    <row r="23" spans="1:19">
      <c r="A23" s="19">
        <v>10</v>
      </c>
      <c r="B23" s="19"/>
      <c r="C23" s="22" t="s">
        <v>48</v>
      </c>
      <c r="D23" s="30"/>
      <c r="E23" s="26"/>
      <c r="F23" s="32"/>
      <c r="G23" s="25"/>
      <c r="H23" s="25"/>
      <c r="I23" s="26"/>
      <c r="J23" s="26"/>
      <c r="K23" s="122"/>
      <c r="L23" s="27"/>
      <c r="M23" s="122"/>
      <c r="N23" s="122"/>
      <c r="O23" s="122"/>
      <c r="Q23" s="122">
        <f>+'Water Rate Design'!I17</f>
        <v>922.97</v>
      </c>
    </row>
    <row r="24" spans="1:19">
      <c r="A24" s="19"/>
      <c r="B24" s="19"/>
      <c r="C24" s="22"/>
      <c r="D24" s="30"/>
      <c r="E24" s="26"/>
      <c r="F24" s="32"/>
      <c r="G24" s="25"/>
      <c r="H24" s="25"/>
      <c r="I24" s="26"/>
      <c r="J24" s="26"/>
      <c r="K24" s="122"/>
      <c r="L24" s="27"/>
      <c r="M24" s="122"/>
      <c r="N24" s="122"/>
      <c r="O24" s="122"/>
      <c r="Q24" s="122"/>
    </row>
    <row r="25" spans="1:19">
      <c r="A25" s="19">
        <v>11</v>
      </c>
      <c r="B25" s="19"/>
      <c r="C25" s="33" t="s">
        <v>33</v>
      </c>
      <c r="D25" s="30"/>
      <c r="E25" s="34">
        <v>6.99</v>
      </c>
      <c r="F25" s="36"/>
      <c r="G25" s="34">
        <v>6.61</v>
      </c>
      <c r="H25" s="35"/>
      <c r="I25" s="34">
        <v>6.72</v>
      </c>
      <c r="J25" s="36"/>
      <c r="K25" s="122">
        <v>6.77</v>
      </c>
      <c r="L25" s="31"/>
      <c r="M25" s="122">
        <v>8.11</v>
      </c>
      <c r="N25" s="122"/>
      <c r="O25" s="126">
        <f>+M25/K25-1</f>
        <v>0.19793205317577556</v>
      </c>
    </row>
    <row r="26" spans="1:19">
      <c r="A26" s="19"/>
      <c r="B26" s="19"/>
      <c r="C26" s="33" t="str">
        <f>+'Water Rate Design'!B40</f>
        <v>0-8k</v>
      </c>
      <c r="D26" s="30"/>
      <c r="E26" s="34"/>
      <c r="F26" s="36"/>
      <c r="G26" s="34"/>
      <c r="H26" s="35"/>
      <c r="I26" s="34"/>
      <c r="J26" s="36"/>
      <c r="K26" s="122"/>
      <c r="L26" s="31"/>
      <c r="M26" s="122"/>
      <c r="N26" s="122"/>
      <c r="O26" s="122"/>
      <c r="Q26" s="122">
        <f>+'Water Rate Design'!I40</f>
        <v>1.97</v>
      </c>
      <c r="S26" s="126">
        <f>Q26/M$25-1</f>
        <v>-0.75709001233045625</v>
      </c>
    </row>
    <row r="27" spans="1:19">
      <c r="A27" s="19"/>
      <c r="B27" s="19"/>
      <c r="C27" s="33" t="str">
        <f>+'Water Rate Design'!B41</f>
        <v>8-16k</v>
      </c>
      <c r="D27" s="30"/>
      <c r="E27" s="34"/>
      <c r="F27" s="36"/>
      <c r="G27" s="34"/>
      <c r="H27" s="35"/>
      <c r="I27" s="34"/>
      <c r="J27" s="36"/>
      <c r="K27" s="122"/>
      <c r="L27" s="31"/>
      <c r="M27" s="122"/>
      <c r="N27" s="122"/>
      <c r="O27" s="122"/>
      <c r="Q27" s="122">
        <f>+'Water Rate Design'!I41</f>
        <v>2.95</v>
      </c>
      <c r="S27" s="126">
        <f t="shared" ref="S27:S28" si="2">Q27/M$25-1</f>
        <v>-0.63625154130702832</v>
      </c>
    </row>
    <row r="28" spans="1:19">
      <c r="A28" s="19"/>
      <c r="B28" s="19"/>
      <c r="C28" s="33" t="str">
        <f>+'Water Rate Design'!B42</f>
        <v>+16k</v>
      </c>
      <c r="D28" s="30"/>
      <c r="E28" s="34"/>
      <c r="F28" s="36"/>
      <c r="G28" s="34"/>
      <c r="H28" s="35"/>
      <c r="I28" s="34"/>
      <c r="J28" s="36"/>
      <c r="K28" s="122"/>
      <c r="L28" s="31"/>
      <c r="M28" s="122"/>
      <c r="N28" s="122"/>
      <c r="O28" s="122"/>
      <c r="Q28" s="122">
        <f>+'Water Rate Design'!I42</f>
        <v>3.93</v>
      </c>
      <c r="S28" s="126">
        <f t="shared" si="2"/>
        <v>-0.51541307028360039</v>
      </c>
    </row>
    <row r="29" spans="1:19">
      <c r="A29" s="19">
        <v>12</v>
      </c>
      <c r="B29" s="19"/>
      <c r="C29" s="38"/>
      <c r="D29" s="30"/>
      <c r="E29" s="35"/>
      <c r="F29" s="36"/>
      <c r="G29" s="35"/>
      <c r="H29" s="35"/>
      <c r="I29" s="39"/>
      <c r="J29" s="40"/>
      <c r="K29" s="122"/>
      <c r="L29" s="27"/>
      <c r="M29" s="122"/>
      <c r="N29" s="122"/>
      <c r="O29" s="122"/>
      <c r="Q29" s="122"/>
    </row>
    <row r="30" spans="1:19">
      <c r="A30" s="19">
        <v>13</v>
      </c>
      <c r="B30" s="19"/>
      <c r="C30" s="41" t="s">
        <v>37</v>
      </c>
      <c r="D30" s="42"/>
      <c r="E30" s="43"/>
      <c r="F30" s="44"/>
      <c r="G30" s="43"/>
      <c r="H30" s="43"/>
      <c r="I30" s="43"/>
      <c r="J30" s="44"/>
      <c r="K30" s="122"/>
      <c r="L30" s="27"/>
      <c r="M30" s="122"/>
      <c r="N30" s="122"/>
      <c r="O30" s="122"/>
      <c r="Q30" s="122"/>
    </row>
    <row r="31" spans="1:19">
      <c r="A31" s="19">
        <v>14</v>
      </c>
      <c r="B31" s="19">
        <v>68006</v>
      </c>
      <c r="C31" s="22" t="s">
        <v>38</v>
      </c>
      <c r="D31" s="23"/>
      <c r="E31" s="24">
        <v>16.510000000000002</v>
      </c>
      <c r="F31" s="32"/>
      <c r="G31" s="24">
        <v>15.57</v>
      </c>
      <c r="H31" s="25"/>
      <c r="I31" s="24">
        <v>15.83</v>
      </c>
      <c r="J31" s="26"/>
      <c r="K31" s="122">
        <v>15.94</v>
      </c>
      <c r="L31" s="27"/>
      <c r="M31" s="122">
        <f>+M15</f>
        <v>19.100000000000001</v>
      </c>
      <c r="N31" s="122"/>
      <c r="O31" s="126">
        <f t="shared" ref="O31:O38" si="3">+M31/K31-1</f>
        <v>0.19824341279799262</v>
      </c>
      <c r="Q31" s="122">
        <f>+Q15</f>
        <v>11.54</v>
      </c>
      <c r="S31" s="126">
        <f t="shared" ref="S31:S38" si="4">+Q31/K31-1</f>
        <v>-0.27603513174404015</v>
      </c>
    </row>
    <row r="32" spans="1:19">
      <c r="A32" s="19">
        <v>15</v>
      </c>
      <c r="B32" s="19">
        <v>68006</v>
      </c>
      <c r="C32" s="45" t="s">
        <v>26</v>
      </c>
      <c r="D32" s="30"/>
      <c r="E32" s="24">
        <v>24.77</v>
      </c>
      <c r="F32" s="32"/>
      <c r="G32" s="24">
        <v>23.36</v>
      </c>
      <c r="H32" s="25"/>
      <c r="I32" s="24">
        <v>23.75</v>
      </c>
      <c r="J32" s="26"/>
      <c r="K32" s="122">
        <v>23.92</v>
      </c>
      <c r="L32" s="27"/>
      <c r="M32" s="122">
        <f t="shared" ref="M32:M38" si="5">+M16</f>
        <v>28.66</v>
      </c>
      <c r="N32" s="122"/>
      <c r="O32" s="126">
        <f t="shared" si="3"/>
        <v>0.19816053511705678</v>
      </c>
      <c r="Q32" s="122">
        <f t="shared" ref="Q32:Q39" si="6">+Q16</f>
        <v>17.309999999999999</v>
      </c>
      <c r="S32" s="126">
        <f t="shared" si="4"/>
        <v>-0.27633779264214053</v>
      </c>
    </row>
    <row r="33" spans="1:19">
      <c r="A33" s="19">
        <v>16</v>
      </c>
      <c r="B33" s="19">
        <v>68007</v>
      </c>
      <c r="C33" s="29" t="s">
        <v>27</v>
      </c>
      <c r="D33" s="30"/>
      <c r="E33" s="24">
        <v>41.28</v>
      </c>
      <c r="F33" s="32"/>
      <c r="G33" s="24">
        <v>38.92</v>
      </c>
      <c r="H33" s="25"/>
      <c r="I33" s="24">
        <v>39.56</v>
      </c>
      <c r="J33" s="26"/>
      <c r="K33" s="122">
        <v>39.840000000000003</v>
      </c>
      <c r="L33" s="27"/>
      <c r="M33" s="122">
        <f t="shared" si="5"/>
        <v>47.73</v>
      </c>
      <c r="N33" s="122"/>
      <c r="O33" s="126">
        <f t="shared" si="3"/>
        <v>0.1980421686746987</v>
      </c>
      <c r="Q33" s="122">
        <f t="shared" si="6"/>
        <v>28.84</v>
      </c>
      <c r="S33" s="126">
        <f t="shared" si="4"/>
        <v>-0.27610441767068283</v>
      </c>
    </row>
    <row r="34" spans="1:19">
      <c r="A34" s="19">
        <v>17</v>
      </c>
      <c r="B34" s="19">
        <v>68008</v>
      </c>
      <c r="C34" s="29" t="s">
        <v>28</v>
      </c>
      <c r="D34" s="30"/>
      <c r="E34" s="24">
        <v>82.55</v>
      </c>
      <c r="F34" s="32"/>
      <c r="G34" s="24">
        <v>77.84</v>
      </c>
      <c r="H34" s="25"/>
      <c r="I34" s="24">
        <v>79.12</v>
      </c>
      <c r="J34" s="26"/>
      <c r="K34" s="122">
        <v>79.680000000000007</v>
      </c>
      <c r="L34" s="27"/>
      <c r="M34" s="122">
        <f t="shared" si="5"/>
        <v>95.46</v>
      </c>
      <c r="N34" s="122"/>
      <c r="O34" s="126">
        <f t="shared" si="3"/>
        <v>0.1980421686746987</v>
      </c>
      <c r="Q34" s="122">
        <f t="shared" si="6"/>
        <v>57.69</v>
      </c>
      <c r="S34" s="126">
        <f t="shared" si="4"/>
        <v>-0.27597891566265065</v>
      </c>
    </row>
    <row r="35" spans="1:19">
      <c r="A35" s="19">
        <v>18</v>
      </c>
      <c r="B35" s="19">
        <v>68009</v>
      </c>
      <c r="C35" s="29" t="s">
        <v>29</v>
      </c>
      <c r="D35" s="30"/>
      <c r="E35" s="24">
        <v>132.08000000000001</v>
      </c>
      <c r="F35" s="32"/>
      <c r="G35" s="24">
        <v>124.54</v>
      </c>
      <c r="H35" s="25"/>
      <c r="I35" s="24">
        <v>126.59</v>
      </c>
      <c r="J35" s="26"/>
      <c r="K35" s="122">
        <v>127.49</v>
      </c>
      <c r="L35" s="27"/>
      <c r="M35" s="122">
        <f t="shared" si="5"/>
        <v>152.75</v>
      </c>
      <c r="N35" s="122"/>
      <c r="O35" s="126">
        <f t="shared" si="3"/>
        <v>0.19813318691662096</v>
      </c>
      <c r="Q35" s="122">
        <f t="shared" si="6"/>
        <v>92.3</v>
      </c>
      <c r="S35" s="126">
        <f t="shared" si="4"/>
        <v>-0.27602164875676527</v>
      </c>
    </row>
    <row r="36" spans="1:19">
      <c r="A36" s="19">
        <v>19</v>
      </c>
      <c r="B36" s="19">
        <v>68005</v>
      </c>
      <c r="C36" s="29" t="s">
        <v>30</v>
      </c>
      <c r="D36" s="30"/>
      <c r="E36" s="24">
        <v>264.16000000000003</v>
      </c>
      <c r="F36" s="32"/>
      <c r="G36" s="24">
        <v>249.08</v>
      </c>
      <c r="H36" s="25"/>
      <c r="I36" s="24">
        <v>253.19</v>
      </c>
      <c r="J36" s="26"/>
      <c r="K36" s="122">
        <v>254.98</v>
      </c>
      <c r="L36" s="27"/>
      <c r="M36" s="122">
        <f t="shared" si="5"/>
        <v>305.49</v>
      </c>
      <c r="N36" s="122"/>
      <c r="O36" s="126">
        <f t="shared" si="3"/>
        <v>0.1980939681543652</v>
      </c>
      <c r="Q36" s="122">
        <f t="shared" si="6"/>
        <v>184.59</v>
      </c>
      <c r="S36" s="126">
        <f t="shared" si="4"/>
        <v>-0.27606086751902104</v>
      </c>
    </row>
    <row r="37" spans="1:19">
      <c r="A37" s="19">
        <v>20</v>
      </c>
      <c r="B37" s="19">
        <v>68016</v>
      </c>
      <c r="C37" s="29" t="s">
        <v>31</v>
      </c>
      <c r="D37" s="30"/>
      <c r="E37" s="24">
        <v>412.75</v>
      </c>
      <c r="F37" s="32"/>
      <c r="G37" s="24">
        <v>389.18</v>
      </c>
      <c r="H37" s="25"/>
      <c r="I37" s="24">
        <v>395.6</v>
      </c>
      <c r="J37" s="26"/>
      <c r="K37" s="122">
        <v>398.4</v>
      </c>
      <c r="L37" s="31"/>
      <c r="M37" s="122">
        <f t="shared" si="5"/>
        <v>477.32</v>
      </c>
      <c r="N37" s="122"/>
      <c r="O37" s="126">
        <f t="shared" si="3"/>
        <v>0.19809236947791176</v>
      </c>
      <c r="Q37" s="122">
        <f t="shared" si="6"/>
        <v>288.43</v>
      </c>
      <c r="S37" s="126">
        <f t="shared" si="4"/>
        <v>-0.27602911646586337</v>
      </c>
    </row>
    <row r="38" spans="1:19">
      <c r="A38" s="19">
        <v>21</v>
      </c>
      <c r="B38" s="19">
        <v>68017</v>
      </c>
      <c r="C38" s="29" t="s">
        <v>32</v>
      </c>
      <c r="D38" s="30"/>
      <c r="E38" s="24">
        <v>825.5</v>
      </c>
      <c r="F38" s="32"/>
      <c r="G38" s="24">
        <v>778.36</v>
      </c>
      <c r="H38" s="25"/>
      <c r="I38" s="24">
        <v>791.2</v>
      </c>
      <c r="J38" s="26"/>
      <c r="K38" s="122">
        <v>796.8</v>
      </c>
      <c r="L38" s="36"/>
      <c r="M38" s="122">
        <f t="shared" si="5"/>
        <v>954.65</v>
      </c>
      <c r="N38" s="122"/>
      <c r="O38" s="126">
        <f t="shared" si="3"/>
        <v>0.1981049196787148</v>
      </c>
      <c r="Q38" s="122">
        <f t="shared" si="6"/>
        <v>576.86</v>
      </c>
      <c r="S38" s="126">
        <f t="shared" si="4"/>
        <v>-0.27602911646586337</v>
      </c>
    </row>
    <row r="39" spans="1:19">
      <c r="A39" s="19">
        <v>22</v>
      </c>
      <c r="B39" s="19">
        <v>68018</v>
      </c>
      <c r="C39" s="22" t="s">
        <v>48</v>
      </c>
      <c r="D39" s="30"/>
      <c r="E39" s="26"/>
      <c r="F39" s="32"/>
      <c r="G39" s="25"/>
      <c r="H39" s="25"/>
      <c r="I39" s="26"/>
      <c r="J39" s="26"/>
      <c r="K39" s="122"/>
      <c r="L39" s="36"/>
      <c r="M39" s="122"/>
      <c r="N39" s="122"/>
      <c r="O39" s="122"/>
      <c r="Q39" s="122">
        <f t="shared" si="6"/>
        <v>922.97</v>
      </c>
    </row>
    <row r="40" spans="1:19">
      <c r="A40" s="19"/>
      <c r="B40" s="19"/>
      <c r="C40" s="22"/>
      <c r="D40" s="30"/>
      <c r="E40" s="26"/>
      <c r="F40" s="32"/>
      <c r="G40" s="25"/>
      <c r="H40" s="25"/>
      <c r="I40" s="26"/>
      <c r="J40" s="26"/>
      <c r="K40" s="122"/>
      <c r="L40" s="36"/>
      <c r="M40" s="122"/>
      <c r="N40" s="122"/>
      <c r="O40" s="122"/>
      <c r="Q40" s="122"/>
    </row>
    <row r="41" spans="1:19">
      <c r="A41" s="19">
        <v>23</v>
      </c>
      <c r="B41" s="19"/>
      <c r="C41" s="33" t="s">
        <v>33</v>
      </c>
      <c r="E41" s="34">
        <v>6.99</v>
      </c>
      <c r="F41" s="62"/>
      <c r="G41" s="34">
        <v>6.61</v>
      </c>
      <c r="H41" s="46"/>
      <c r="I41" s="34">
        <v>6.72</v>
      </c>
      <c r="J41" s="47"/>
      <c r="K41" s="122">
        <v>6.77</v>
      </c>
      <c r="L41" s="27"/>
      <c r="M41" s="122">
        <f>+M25</f>
        <v>8.11</v>
      </c>
      <c r="N41" s="122"/>
      <c r="O41" s="126">
        <f>+M41/K41-1</f>
        <v>0.19793205317577556</v>
      </c>
      <c r="Q41" s="122">
        <f>+'Water Rate Design'!I45</f>
        <v>2.98</v>
      </c>
      <c r="S41" s="126">
        <f>+Q41/K41-1</f>
        <v>-0.55982274741506644</v>
      </c>
    </row>
    <row r="42" spans="1:19">
      <c r="A42" s="19"/>
      <c r="B42" s="19"/>
      <c r="C42" s="3"/>
      <c r="L42" s="27"/>
      <c r="M42" s="27"/>
      <c r="N42" s="27"/>
      <c r="O42" s="27"/>
      <c r="Q42" s="122"/>
    </row>
    <row r="43" spans="1:19">
      <c r="A43" s="19"/>
      <c r="C43" s="3"/>
      <c r="E43" s="36"/>
      <c r="F43" s="36"/>
      <c r="G43" s="36"/>
      <c r="H43" s="36"/>
      <c r="I43" s="36"/>
      <c r="J43" s="36"/>
      <c r="K43" s="36"/>
      <c r="L43" s="27"/>
      <c r="M43" s="27"/>
      <c r="N43" s="27"/>
      <c r="O43" s="27"/>
      <c r="Q43" s="122"/>
    </row>
    <row r="44" spans="1:19">
      <c r="A44" s="12"/>
      <c r="B44" s="12"/>
      <c r="C44" s="29"/>
      <c r="D44" s="48"/>
      <c r="L44" s="21"/>
      <c r="M44" s="21"/>
      <c r="N44" s="21"/>
      <c r="O44" s="21"/>
      <c r="Q44" s="122"/>
    </row>
    <row r="45" spans="1:19">
      <c r="A45" s="12"/>
      <c r="B45" s="12"/>
      <c r="C45" s="29"/>
      <c r="L45" s="21"/>
      <c r="M45" s="21"/>
      <c r="N45" s="21"/>
      <c r="O45" s="21"/>
      <c r="Q45" s="122"/>
    </row>
    <row r="46" spans="1:19">
      <c r="A46" s="12"/>
      <c r="B46" s="12"/>
      <c r="C46" s="29"/>
      <c r="K46" s="49"/>
      <c r="L46" s="21"/>
      <c r="M46" s="21"/>
      <c r="N46" s="21"/>
      <c r="O46" s="21"/>
      <c r="Q46" s="122"/>
    </row>
    <row r="47" spans="1:19">
      <c r="A47" s="12"/>
      <c r="B47" s="12"/>
      <c r="C47" s="29"/>
      <c r="E47" s="50"/>
      <c r="F47" s="50"/>
      <c r="G47" s="50"/>
      <c r="H47" s="50"/>
      <c r="I47" s="50"/>
      <c r="J47" s="50"/>
      <c r="K47" s="51"/>
      <c r="L47" s="51"/>
      <c r="M47" s="51"/>
      <c r="N47" s="51"/>
      <c r="O47" s="51"/>
      <c r="Q47" s="122"/>
    </row>
    <row r="48" spans="1:19">
      <c r="A48" s="12"/>
      <c r="B48" s="12"/>
      <c r="C48" s="29"/>
      <c r="K48" s="21"/>
      <c r="L48" s="21"/>
      <c r="M48" s="21"/>
      <c r="N48" s="21"/>
      <c r="O48" s="21"/>
      <c r="Q48" s="122"/>
    </row>
    <row r="49" spans="1:15">
      <c r="A49" s="12"/>
      <c r="B49" s="12"/>
      <c r="C49" s="52"/>
      <c r="K49" s="21"/>
      <c r="L49" s="21"/>
      <c r="M49" s="21"/>
      <c r="N49" s="21"/>
      <c r="O49" s="21"/>
    </row>
    <row r="50" spans="1:15">
      <c r="A50" s="12"/>
      <c r="B50" s="12"/>
      <c r="C50" s="52"/>
      <c r="K50" s="21"/>
      <c r="L50" s="21"/>
      <c r="M50" s="21"/>
      <c r="N50" s="21"/>
      <c r="O50" s="21"/>
    </row>
    <row r="51" spans="1:15">
      <c r="A51" s="12"/>
      <c r="B51" s="12"/>
      <c r="C51" s="53"/>
      <c r="K51" s="21"/>
      <c r="L51" s="21"/>
      <c r="M51" s="21"/>
      <c r="N51" s="21"/>
      <c r="O51" s="21"/>
    </row>
    <row r="52" spans="1:15">
      <c r="A52" s="12"/>
      <c r="B52" s="12"/>
      <c r="C52" s="29"/>
      <c r="K52" s="21"/>
      <c r="L52" s="21"/>
      <c r="M52" s="21"/>
      <c r="N52" s="21"/>
      <c r="O52" s="21"/>
    </row>
    <row r="53" spans="1:15">
      <c r="A53" s="12"/>
      <c r="B53" s="12"/>
      <c r="C53" s="29"/>
      <c r="K53" s="21"/>
      <c r="L53" s="21"/>
      <c r="M53" s="21"/>
      <c r="N53" s="21"/>
      <c r="O53" s="21"/>
    </row>
    <row r="54" spans="1:15">
      <c r="A54" s="12"/>
      <c r="B54" s="12"/>
      <c r="C54" s="29"/>
      <c r="K54" s="21"/>
      <c r="L54" s="21"/>
      <c r="M54" s="21"/>
      <c r="N54" s="21"/>
      <c r="O54" s="21"/>
    </row>
    <row r="55" spans="1:15">
      <c r="A55" s="12"/>
      <c r="B55" s="12"/>
      <c r="C55" s="29"/>
      <c r="K55" s="21"/>
      <c r="L55" s="21"/>
      <c r="M55" s="21"/>
      <c r="N55" s="21"/>
      <c r="O55" s="21"/>
    </row>
    <row r="56" spans="1:15">
      <c r="A56" s="12"/>
      <c r="B56" s="12"/>
      <c r="C56" s="29"/>
      <c r="K56" s="21"/>
      <c r="L56" s="21"/>
      <c r="M56" s="21"/>
      <c r="N56" s="21"/>
      <c r="O56" s="21"/>
    </row>
    <row r="57" spans="1:15">
      <c r="A57" s="12"/>
      <c r="B57" s="12"/>
      <c r="C57" s="29"/>
      <c r="K57" s="21"/>
      <c r="L57" s="21"/>
      <c r="M57" s="21"/>
      <c r="N57" s="21"/>
      <c r="O57" s="21"/>
    </row>
    <row r="58" spans="1:15">
      <c r="A58" s="12"/>
      <c r="B58" s="12"/>
      <c r="C58" s="29"/>
      <c r="K58" s="21"/>
      <c r="L58" s="21"/>
      <c r="M58" s="21"/>
      <c r="N58" s="21"/>
      <c r="O58" s="21"/>
    </row>
    <row r="59" spans="1:15">
      <c r="A59" s="12"/>
      <c r="B59" s="12"/>
      <c r="C59" s="41"/>
      <c r="K59" s="21"/>
      <c r="L59" s="21"/>
      <c r="M59" s="21"/>
      <c r="N59" s="21"/>
      <c r="O59" s="21"/>
    </row>
    <row r="60" spans="1:15">
      <c r="A60" s="12"/>
      <c r="B60" s="12"/>
      <c r="C60" s="29"/>
      <c r="K60" s="21"/>
      <c r="L60" s="21"/>
      <c r="M60" s="21"/>
      <c r="N60" s="21"/>
      <c r="O60" s="21"/>
    </row>
    <row r="61" spans="1:15">
      <c r="A61" s="12"/>
      <c r="B61" s="12"/>
      <c r="C61" s="29"/>
      <c r="K61" s="21"/>
      <c r="L61" s="21"/>
      <c r="M61" s="21"/>
      <c r="N61" s="21"/>
      <c r="O61" s="21"/>
    </row>
    <row r="62" spans="1:15">
      <c r="A62" s="12"/>
      <c r="B62" s="12"/>
      <c r="C62" s="29"/>
      <c r="K62" s="21"/>
      <c r="L62" s="21"/>
      <c r="M62" s="21"/>
      <c r="N62" s="21"/>
      <c r="O62" s="21"/>
    </row>
    <row r="63" spans="1:15">
      <c r="A63" s="12"/>
      <c r="B63" s="12"/>
      <c r="C63" s="29"/>
      <c r="K63" s="21"/>
      <c r="L63" s="21"/>
      <c r="M63" s="21"/>
      <c r="N63" s="21"/>
      <c r="O63" s="21"/>
    </row>
    <row r="64" spans="1:15">
      <c r="A64" s="12"/>
      <c r="B64" s="12"/>
      <c r="C64" s="29"/>
      <c r="K64" s="21"/>
      <c r="L64" s="21"/>
      <c r="M64" s="21"/>
      <c r="N64" s="21"/>
      <c r="O64" s="21"/>
    </row>
    <row r="65" spans="1:15">
      <c r="A65" s="12"/>
      <c r="B65" s="12"/>
      <c r="C65" s="29"/>
      <c r="K65" s="21"/>
      <c r="L65" s="21"/>
      <c r="M65" s="21"/>
      <c r="N65" s="21"/>
      <c r="O65" s="21"/>
    </row>
    <row r="66" spans="1:15">
      <c r="A66" s="12"/>
      <c r="B66" s="12"/>
      <c r="C66" s="29"/>
    </row>
    <row r="103" spans="11:11">
      <c r="K103" s="54"/>
    </row>
    <row r="106" spans="11:11">
      <c r="K106" s="54"/>
    </row>
    <row r="229" spans="1:10">
      <c r="E229" s="55"/>
      <c r="F229" s="55"/>
      <c r="G229" s="55"/>
      <c r="H229" s="55"/>
      <c r="I229" s="55"/>
      <c r="J229" s="55"/>
    </row>
    <row r="230" spans="1:10">
      <c r="E230" s="55"/>
      <c r="F230" s="55"/>
      <c r="G230" s="55"/>
      <c r="H230" s="55"/>
      <c r="I230" s="55"/>
      <c r="J230" s="55"/>
    </row>
    <row r="231" spans="1:10">
      <c r="E231" s="55"/>
      <c r="F231" s="55"/>
      <c r="G231" s="55"/>
      <c r="H231" s="55"/>
      <c r="I231" s="55"/>
      <c r="J231" s="55"/>
    </row>
    <row r="232" spans="1:10">
      <c r="A232" s="55"/>
      <c r="B232" s="55"/>
      <c r="C232" s="56"/>
      <c r="D232" s="55"/>
      <c r="E232" s="55"/>
      <c r="F232" s="55"/>
      <c r="G232" s="55"/>
      <c r="H232" s="55"/>
      <c r="I232" s="55"/>
      <c r="J232" s="55"/>
    </row>
    <row r="233" spans="1:10">
      <c r="A233" s="55"/>
      <c r="B233" s="55"/>
      <c r="C233" s="56"/>
      <c r="D233" s="55"/>
      <c r="E233" s="55"/>
      <c r="F233" s="55"/>
      <c r="G233" s="55"/>
      <c r="H233" s="55"/>
      <c r="I233" s="55"/>
      <c r="J233" s="55"/>
    </row>
    <row r="234" spans="1:10">
      <c r="A234" s="55"/>
      <c r="B234" s="55"/>
      <c r="C234" s="56"/>
      <c r="D234" s="55"/>
    </row>
    <row r="235" spans="1:10">
      <c r="A235" s="55"/>
      <c r="B235" s="55"/>
      <c r="C235" s="56"/>
      <c r="D235" s="55"/>
    </row>
    <row r="236" spans="1:10">
      <c r="A236" s="55"/>
      <c r="B236" s="55"/>
      <c r="C236" s="56"/>
      <c r="D236" s="55"/>
    </row>
    <row r="263" spans="1:10">
      <c r="E263" s="55"/>
      <c r="F263" s="55"/>
      <c r="G263" s="55"/>
      <c r="H263" s="55"/>
      <c r="I263" s="55"/>
      <c r="J263" s="55"/>
    </row>
    <row r="266" spans="1:10">
      <c r="A266" s="55"/>
      <c r="B266" s="55"/>
      <c r="C266" s="56"/>
      <c r="D266" s="55"/>
    </row>
    <row r="335" spans="1:2">
      <c r="A335" s="1"/>
      <c r="B335" s="1"/>
    </row>
    <row r="352" spans="1:2">
      <c r="A352" s="55"/>
      <c r="B352" s="55"/>
    </row>
    <row r="353" spans="1:2">
      <c r="A353" s="55"/>
      <c r="B353" s="55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</sheetData>
  <pageMargins left="0.7" right="0.7" top="0.75" bottom="0.75" header="0.3" footer="0.3"/>
  <pageSetup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1"/>
  <sheetViews>
    <sheetView zoomScaleNormal="100" workbookViewId="0">
      <selection activeCell="M53" sqref="M53"/>
    </sheetView>
  </sheetViews>
  <sheetFormatPr defaultColWidth="10.85546875" defaultRowHeight="12"/>
  <cols>
    <col min="1" max="1" width="6.85546875" style="3" customWidth="1"/>
    <col min="2" max="2" width="8.42578125" style="3" hidden="1" customWidth="1"/>
    <col min="3" max="3" width="29" style="28" customWidth="1"/>
    <col min="4" max="4" width="2" style="3" customWidth="1"/>
    <col min="5" max="5" width="10.7109375" style="3" hidden="1" customWidth="1"/>
    <col min="6" max="6" width="1.7109375" style="3" hidden="1" customWidth="1"/>
    <col min="7" max="7" width="10.7109375" style="3" hidden="1" customWidth="1"/>
    <col min="8" max="8" width="1.7109375" style="3" hidden="1" customWidth="1"/>
    <col min="9" max="9" width="10.7109375" style="3" hidden="1" customWidth="1"/>
    <col min="10" max="10" width="1.7109375" style="3" hidden="1" customWidth="1"/>
    <col min="11" max="11" width="10.7109375" style="3" customWidth="1"/>
    <col min="12" max="12" width="2.7109375" style="3" customWidth="1"/>
    <col min="13" max="13" width="11.85546875" style="3" customWidth="1"/>
    <col min="14" max="14" width="1.7109375" style="3" customWidth="1"/>
    <col min="15" max="15" width="10.85546875" style="3"/>
    <col min="16" max="16" width="1.7109375" style="3" customWidth="1"/>
    <col min="17" max="17" width="10.85546875" style="3"/>
    <col min="18" max="18" width="1.7109375" style="3" customWidth="1"/>
    <col min="19" max="16384" width="10.85546875" style="3"/>
  </cols>
  <sheetData>
    <row r="1" spans="1:22">
      <c r="A1" s="1" t="s">
        <v>0</v>
      </c>
      <c r="B1" s="1"/>
      <c r="C1" s="2"/>
      <c r="E1" s="1"/>
      <c r="F1" s="1"/>
      <c r="G1" s="1"/>
      <c r="H1" s="1"/>
      <c r="I1" s="1"/>
      <c r="J1" s="1"/>
      <c r="K1" s="4" t="s">
        <v>1</v>
      </c>
      <c r="M1" s="4"/>
    </row>
    <row r="2" spans="1:22">
      <c r="A2" s="1"/>
      <c r="B2" s="1"/>
      <c r="C2" s="2"/>
      <c r="E2" s="1"/>
      <c r="F2" s="1"/>
      <c r="G2" s="1"/>
      <c r="H2" s="1"/>
      <c r="I2" s="1"/>
      <c r="J2" s="1"/>
      <c r="K2" s="4"/>
      <c r="M2" s="4"/>
    </row>
    <row r="3" spans="1:22">
      <c r="A3" s="1" t="s">
        <v>49</v>
      </c>
      <c r="B3" s="1"/>
      <c r="C3" s="2"/>
      <c r="E3" s="1"/>
      <c r="F3" s="1"/>
      <c r="G3" s="1"/>
      <c r="H3" s="1"/>
      <c r="I3" s="1"/>
      <c r="J3" s="1"/>
      <c r="K3" s="4"/>
      <c r="M3" s="4"/>
    </row>
    <row r="4" spans="1:22">
      <c r="A4" s="1" t="s">
        <v>4</v>
      </c>
      <c r="B4" s="1"/>
      <c r="C4" s="2"/>
      <c r="E4" s="1"/>
      <c r="F4" s="1"/>
      <c r="G4" s="1"/>
      <c r="H4" s="1"/>
      <c r="I4" s="1"/>
      <c r="J4" s="1"/>
      <c r="K4" s="5"/>
      <c r="M4" s="4"/>
    </row>
    <row r="5" spans="1:22">
      <c r="A5" s="1" t="s">
        <v>6</v>
      </c>
      <c r="B5" s="1"/>
      <c r="C5" s="2"/>
      <c r="E5" s="1"/>
      <c r="F5" s="1"/>
      <c r="G5" s="1"/>
      <c r="H5" s="1"/>
      <c r="I5" s="1"/>
      <c r="J5" s="1"/>
      <c r="K5" s="4"/>
      <c r="M5" s="4"/>
    </row>
    <row r="6" spans="1:22">
      <c r="A6" s="1" t="s">
        <v>8</v>
      </c>
      <c r="B6" s="1"/>
      <c r="C6" s="2"/>
      <c r="D6" s="1"/>
      <c r="E6" s="1"/>
      <c r="F6" s="1"/>
      <c r="G6" s="1"/>
      <c r="H6" s="1"/>
      <c r="I6" s="1"/>
      <c r="J6" s="1"/>
      <c r="K6" s="4"/>
      <c r="L6" s="4"/>
      <c r="M6" s="4"/>
    </row>
    <row r="7" spans="1:22">
      <c r="A7" s="1" t="s">
        <v>9</v>
      </c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</row>
    <row r="8" spans="1:22">
      <c r="A8" s="6" t="s">
        <v>10</v>
      </c>
      <c r="B8" s="6"/>
      <c r="C8" s="2"/>
      <c r="D8" s="1"/>
      <c r="E8" s="1"/>
      <c r="F8" s="1"/>
      <c r="G8" s="1"/>
      <c r="H8" s="1"/>
      <c r="I8" s="1"/>
      <c r="J8" s="1"/>
      <c r="K8" s="1"/>
      <c r="L8" s="1"/>
      <c r="M8" s="1"/>
    </row>
    <row r="9" spans="1:22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22">
      <c r="A10" s="9"/>
      <c r="B10" s="10" t="s">
        <v>11</v>
      </c>
      <c r="C10" s="11">
        <v>-1</v>
      </c>
      <c r="D10" s="12"/>
      <c r="E10" s="11">
        <v>-2</v>
      </c>
      <c r="G10" s="11">
        <v>-2</v>
      </c>
      <c r="I10" s="11">
        <v>-3</v>
      </c>
      <c r="J10" s="13"/>
      <c r="K10" s="11"/>
      <c r="M10" s="11"/>
      <c r="N10" s="11"/>
      <c r="O10" s="11"/>
      <c r="P10" s="11"/>
      <c r="Q10" s="11"/>
      <c r="S10" s="11"/>
    </row>
    <row r="11" spans="1:22">
      <c r="C11" s="2"/>
      <c r="D11" s="1"/>
      <c r="E11" s="12" t="s">
        <v>12</v>
      </c>
      <c r="F11" s="1"/>
      <c r="G11" s="12" t="s">
        <v>12</v>
      </c>
      <c r="H11" s="1"/>
      <c r="I11" s="12" t="s">
        <v>12</v>
      </c>
      <c r="J11" s="1"/>
      <c r="L11" s="12"/>
      <c r="M11" s="12"/>
      <c r="N11" s="12"/>
      <c r="O11" s="12" t="s">
        <v>184</v>
      </c>
      <c r="Q11" s="12" t="s">
        <v>183</v>
      </c>
      <c r="S11" s="12" t="s">
        <v>184</v>
      </c>
    </row>
    <row r="12" spans="1:22">
      <c r="A12" s="12" t="s">
        <v>14</v>
      </c>
      <c r="B12" s="12" t="s">
        <v>15</v>
      </c>
      <c r="C12" s="2"/>
      <c r="D12" s="1"/>
      <c r="E12" s="12" t="s">
        <v>16</v>
      </c>
      <c r="F12" s="1"/>
      <c r="G12" s="12" t="s">
        <v>16</v>
      </c>
      <c r="H12" s="1"/>
      <c r="I12" s="12" t="s">
        <v>16</v>
      </c>
      <c r="J12" s="1"/>
      <c r="K12" s="12" t="s">
        <v>13</v>
      </c>
      <c r="L12" s="12"/>
      <c r="M12" s="12" t="s">
        <v>18</v>
      </c>
      <c r="N12" s="12"/>
      <c r="O12" s="12" t="s">
        <v>185</v>
      </c>
      <c r="Q12" s="12" t="s">
        <v>182</v>
      </c>
      <c r="S12" s="12" t="s">
        <v>185</v>
      </c>
    </row>
    <row r="13" spans="1:22" ht="14.25">
      <c r="A13" s="14" t="s">
        <v>19</v>
      </c>
      <c r="B13" s="14" t="s">
        <v>20</v>
      </c>
      <c r="C13" s="15" t="s">
        <v>21</v>
      </c>
      <c r="D13" s="16"/>
      <c r="E13" s="17" t="s">
        <v>50</v>
      </c>
      <c r="F13" s="64"/>
      <c r="G13" s="17" t="s">
        <v>51</v>
      </c>
      <c r="H13" s="64"/>
      <c r="I13" s="17" t="s">
        <v>52</v>
      </c>
      <c r="J13" s="17"/>
      <c r="K13" s="130" t="s">
        <v>17</v>
      </c>
      <c r="L13" s="18"/>
      <c r="M13" s="14" t="s">
        <v>17</v>
      </c>
      <c r="N13" s="124"/>
      <c r="O13" s="125" t="s">
        <v>186</v>
      </c>
      <c r="Q13" s="14" t="s">
        <v>17</v>
      </c>
      <c r="S13" s="14" t="s">
        <v>186</v>
      </c>
    </row>
    <row r="14" spans="1:22">
      <c r="A14" s="19">
        <v>1</v>
      </c>
      <c r="B14" s="19"/>
      <c r="C14" s="20" t="s">
        <v>53</v>
      </c>
      <c r="K14" s="21"/>
      <c r="L14" s="21"/>
      <c r="M14" s="21"/>
    </row>
    <row r="15" spans="1:22">
      <c r="A15" s="19">
        <v>2</v>
      </c>
      <c r="B15" s="19">
        <v>68001</v>
      </c>
      <c r="C15" s="22" t="s">
        <v>38</v>
      </c>
      <c r="D15" s="23"/>
      <c r="E15" s="24">
        <v>9.58</v>
      </c>
      <c r="F15" s="25"/>
      <c r="G15" s="34">
        <v>9.69</v>
      </c>
      <c r="H15" s="25"/>
      <c r="I15" s="34">
        <v>9.57</v>
      </c>
      <c r="J15" s="26"/>
      <c r="K15" s="122">
        <v>9.61</v>
      </c>
      <c r="L15" s="27"/>
      <c r="M15" s="122">
        <v>9.68</v>
      </c>
      <c r="O15" s="126">
        <f>+M15/K15-1</f>
        <v>7.2840790842871872E-3</v>
      </c>
      <c r="Q15" s="122">
        <f>+'Water Rate Design'!I9</f>
        <v>11.54</v>
      </c>
      <c r="S15" s="126">
        <f>+Q15/K15-1</f>
        <v>0.20083246618106143</v>
      </c>
      <c r="V15" s="126">
        <f>62778/5484612</f>
        <v>1.1446206222062745E-2</v>
      </c>
    </row>
    <row r="16" spans="1:22">
      <c r="A16" s="19"/>
      <c r="B16" s="19"/>
      <c r="C16" s="22" t="s">
        <v>26</v>
      </c>
      <c r="D16" s="23"/>
      <c r="E16" s="24"/>
      <c r="F16" s="25"/>
      <c r="G16" s="34"/>
      <c r="H16" s="25"/>
      <c r="I16" s="34"/>
      <c r="J16" s="26"/>
      <c r="K16" s="122"/>
      <c r="L16" s="27"/>
      <c r="M16" s="122"/>
      <c r="O16" s="126"/>
      <c r="Q16" s="122">
        <f>+'Water Rate Design'!I10</f>
        <v>17.309999999999999</v>
      </c>
      <c r="S16" s="126"/>
    </row>
    <row r="17" spans="1:19">
      <c r="A17" s="19">
        <v>3</v>
      </c>
      <c r="B17" s="19">
        <v>68002</v>
      </c>
      <c r="C17" s="29" t="s">
        <v>27</v>
      </c>
      <c r="D17" s="23"/>
      <c r="E17" s="24">
        <v>23.94</v>
      </c>
      <c r="F17" s="25"/>
      <c r="G17" s="34">
        <v>24.22</v>
      </c>
      <c r="H17" s="25"/>
      <c r="I17" s="34">
        <v>23.92</v>
      </c>
      <c r="J17" s="26"/>
      <c r="K17" s="122">
        <v>24.02</v>
      </c>
      <c r="L17" s="27"/>
      <c r="M17" s="122">
        <v>24.2</v>
      </c>
      <c r="O17" s="126">
        <f t="shared" ref="O17:O24" si="0">+M17/K17-1</f>
        <v>7.4937552039966437E-3</v>
      </c>
      <c r="Q17" s="122">
        <f>+'Water Rate Design'!I11</f>
        <v>28.84</v>
      </c>
      <c r="S17" s="126">
        <f t="shared" ref="S17:S24" si="1">+Q17/K17-1</f>
        <v>0.20066611157368852</v>
      </c>
    </row>
    <row r="18" spans="1:19">
      <c r="A18" s="19">
        <v>4</v>
      </c>
      <c r="B18" s="19">
        <v>68003</v>
      </c>
      <c r="C18" s="29" t="s">
        <v>28</v>
      </c>
      <c r="D18" s="30"/>
      <c r="E18" s="24">
        <v>47.87</v>
      </c>
      <c r="F18" s="25"/>
      <c r="G18" s="34">
        <v>48.44</v>
      </c>
      <c r="H18" s="25"/>
      <c r="I18" s="34">
        <v>47.85</v>
      </c>
      <c r="J18" s="26"/>
      <c r="K18" s="122">
        <v>48.05</v>
      </c>
      <c r="L18" s="31"/>
      <c r="M18" s="122">
        <v>48.42</v>
      </c>
      <c r="O18" s="126">
        <f t="shared" si="0"/>
        <v>7.7003121748180359E-3</v>
      </c>
      <c r="Q18" s="122">
        <f>+'Water Rate Design'!I12</f>
        <v>57.69</v>
      </c>
      <c r="S18" s="126">
        <f t="shared" si="1"/>
        <v>0.20062434963579601</v>
      </c>
    </row>
    <row r="19" spans="1:19">
      <c r="A19" s="19">
        <v>5</v>
      </c>
      <c r="B19" s="19">
        <v>68004</v>
      </c>
      <c r="C19" s="29" t="s">
        <v>29</v>
      </c>
      <c r="D19" s="30"/>
      <c r="E19" s="24">
        <v>76.59</v>
      </c>
      <c r="F19" s="25"/>
      <c r="G19" s="34">
        <v>77.5</v>
      </c>
      <c r="H19" s="25"/>
      <c r="I19" s="34">
        <v>76.55</v>
      </c>
      <c r="J19" s="26"/>
      <c r="K19" s="122">
        <v>76.87</v>
      </c>
      <c r="L19" s="27"/>
      <c r="M19" s="122">
        <v>77.45</v>
      </c>
      <c r="O19" s="126">
        <f t="shared" si="0"/>
        <v>7.5452061922727243E-3</v>
      </c>
      <c r="Q19" s="122">
        <f>+'Water Rate Design'!I13</f>
        <v>92.3</v>
      </c>
      <c r="S19" s="126">
        <f t="shared" si="1"/>
        <v>0.20072850266683995</v>
      </c>
    </row>
    <row r="20" spans="1:19">
      <c r="A20" s="19">
        <v>6</v>
      </c>
      <c r="B20" s="19"/>
      <c r="C20" s="29" t="s">
        <v>30</v>
      </c>
      <c r="D20" s="30"/>
      <c r="E20" s="24">
        <v>153.18</v>
      </c>
      <c r="F20" s="25"/>
      <c r="G20" s="34">
        <v>155</v>
      </c>
      <c r="H20" s="25"/>
      <c r="I20" s="34">
        <v>153.11000000000001</v>
      </c>
      <c r="J20" s="26"/>
      <c r="K20" s="122">
        <v>153.75</v>
      </c>
      <c r="L20" s="27"/>
      <c r="M20" s="122">
        <v>154.91999999999999</v>
      </c>
      <c r="O20" s="126">
        <f t="shared" si="0"/>
        <v>7.6097560975609824E-3</v>
      </c>
      <c r="Q20" s="122">
        <f>+'Water Rate Design'!I14</f>
        <v>184.59</v>
      </c>
      <c r="S20" s="126">
        <f t="shared" si="1"/>
        <v>0.20058536585365849</v>
      </c>
    </row>
    <row r="21" spans="1:19">
      <c r="A21" s="19">
        <v>7</v>
      </c>
      <c r="B21" s="19"/>
      <c r="C21" s="29" t="s">
        <v>31</v>
      </c>
      <c r="D21" s="30"/>
      <c r="E21" s="24">
        <v>239.35</v>
      </c>
      <c r="F21" s="25"/>
      <c r="G21" s="34">
        <v>242.2</v>
      </c>
      <c r="H21" s="25"/>
      <c r="I21" s="34">
        <v>239.25</v>
      </c>
      <c r="J21" s="26"/>
      <c r="K21" s="122">
        <v>240.25</v>
      </c>
      <c r="L21" s="27"/>
      <c r="M21" s="122">
        <v>242.08</v>
      </c>
      <c r="O21" s="126">
        <f t="shared" si="0"/>
        <v>7.6170655567118217E-3</v>
      </c>
      <c r="Q21" s="122">
        <f>+'Water Rate Design'!I15</f>
        <v>288.43</v>
      </c>
      <c r="S21" s="126">
        <f t="shared" si="1"/>
        <v>0.20054110301769001</v>
      </c>
    </row>
    <row r="22" spans="1:19">
      <c r="A22" s="19">
        <v>8</v>
      </c>
      <c r="B22" s="19"/>
      <c r="C22" s="29" t="s">
        <v>32</v>
      </c>
      <c r="D22" s="30"/>
      <c r="E22" s="24">
        <v>478.69</v>
      </c>
      <c r="F22" s="25"/>
      <c r="G22" s="34">
        <v>484.39</v>
      </c>
      <c r="H22" s="25"/>
      <c r="I22" s="34">
        <v>478.48</v>
      </c>
      <c r="J22" s="26"/>
      <c r="K22" s="122">
        <v>480.47</v>
      </c>
      <c r="L22" s="27"/>
      <c r="M22" s="122">
        <v>484.12</v>
      </c>
      <c r="O22" s="126">
        <f t="shared" si="0"/>
        <v>7.5967282036339956E-3</v>
      </c>
      <c r="Q22" s="122">
        <f>+'Water Rate Design'!I16</f>
        <v>576.86</v>
      </c>
      <c r="S22" s="126">
        <f t="shared" si="1"/>
        <v>0.20061606343788374</v>
      </c>
    </row>
    <row r="23" spans="1:19">
      <c r="A23" s="19">
        <v>9</v>
      </c>
      <c r="B23" s="19"/>
      <c r="C23" s="22" t="s">
        <v>48</v>
      </c>
      <c r="D23" s="30"/>
      <c r="E23" s="24">
        <v>861.62</v>
      </c>
      <c r="F23" s="25"/>
      <c r="G23" s="34">
        <v>871.87</v>
      </c>
      <c r="H23" s="25"/>
      <c r="I23" s="34">
        <v>861.24</v>
      </c>
      <c r="J23" s="26"/>
      <c r="K23" s="122">
        <v>864.83</v>
      </c>
      <c r="L23" s="27"/>
      <c r="M23" s="122">
        <v>871.4</v>
      </c>
      <c r="O23" s="126">
        <f t="shared" si="0"/>
        <v>7.5968687487713016E-3</v>
      </c>
      <c r="Q23" s="122">
        <f>+'Water Rate Design'!I17</f>
        <v>922.97</v>
      </c>
      <c r="S23" s="126">
        <f t="shared" si="1"/>
        <v>6.72270850918677E-2</v>
      </c>
    </row>
    <row r="24" spans="1:19">
      <c r="A24" s="19">
        <v>10</v>
      </c>
      <c r="B24" s="19"/>
      <c r="C24" s="22" t="s">
        <v>54</v>
      </c>
      <c r="D24" s="30"/>
      <c r="E24" s="24">
        <v>1388.19</v>
      </c>
      <c r="F24" s="25"/>
      <c r="G24" s="34">
        <v>1404.71</v>
      </c>
      <c r="H24" s="25"/>
      <c r="I24" s="34">
        <v>1387.58</v>
      </c>
      <c r="J24" s="26"/>
      <c r="K24" s="122">
        <v>1393.36</v>
      </c>
      <c r="L24" s="27"/>
      <c r="M24" s="122">
        <v>1403.95</v>
      </c>
      <c r="O24" s="126">
        <f t="shared" si="0"/>
        <v>7.6003330079807974E-3</v>
      </c>
      <c r="Q24" s="122">
        <f>+'Water Rate Design'!I18</f>
        <v>1672.89</v>
      </c>
      <c r="S24" s="126">
        <f t="shared" si="1"/>
        <v>0.20061577768846539</v>
      </c>
    </row>
    <row r="25" spans="1:19">
      <c r="A25" s="19">
        <v>11</v>
      </c>
      <c r="B25" s="19"/>
      <c r="C25" s="22"/>
      <c r="D25" s="30"/>
      <c r="E25" s="25"/>
      <c r="F25" s="25"/>
      <c r="G25" s="25"/>
      <c r="H25" s="25"/>
      <c r="I25" s="22"/>
      <c r="J25" s="26"/>
      <c r="L25" s="27"/>
    </row>
    <row r="26" spans="1:19">
      <c r="A26" s="19">
        <v>12</v>
      </c>
      <c r="B26" s="19"/>
      <c r="C26" s="33" t="s">
        <v>33</v>
      </c>
      <c r="D26" s="30"/>
      <c r="E26" s="25"/>
      <c r="F26" s="25"/>
      <c r="G26" s="25"/>
      <c r="H26" s="25"/>
      <c r="I26" s="22"/>
      <c r="J26" s="25"/>
      <c r="L26" s="31"/>
    </row>
    <row r="27" spans="1:19">
      <c r="A27" s="19">
        <v>13</v>
      </c>
      <c r="B27" s="19"/>
      <c r="C27" s="33" t="s">
        <v>55</v>
      </c>
      <c r="D27" s="30"/>
      <c r="E27" s="34">
        <v>2.35</v>
      </c>
      <c r="F27" s="35"/>
      <c r="G27" s="34">
        <v>2.38</v>
      </c>
      <c r="H27" s="35"/>
      <c r="I27" s="34">
        <v>2.35</v>
      </c>
      <c r="J27" s="36"/>
      <c r="K27" s="122">
        <v>2.36</v>
      </c>
      <c r="L27" s="31"/>
      <c r="M27" s="122">
        <v>2.38</v>
      </c>
      <c r="O27" s="126">
        <f t="shared" ref="O27:O29" si="2">+M27/K27-1</f>
        <v>8.4745762711864181E-3</v>
      </c>
    </row>
    <row r="28" spans="1:19">
      <c r="A28" s="19">
        <v>14</v>
      </c>
      <c r="B28" s="19"/>
      <c r="C28" s="33" t="s">
        <v>56</v>
      </c>
      <c r="D28" s="30"/>
      <c r="E28" s="34">
        <v>2.72</v>
      </c>
      <c r="F28" s="35"/>
      <c r="G28" s="34">
        <v>2.75</v>
      </c>
      <c r="H28" s="35"/>
      <c r="I28" s="34">
        <v>2.72</v>
      </c>
      <c r="J28" s="36"/>
      <c r="K28" s="122">
        <v>2.73</v>
      </c>
      <c r="L28" s="31"/>
      <c r="M28" s="122">
        <v>2.75</v>
      </c>
      <c r="O28" s="126">
        <f t="shared" si="2"/>
        <v>7.3260073260073E-3</v>
      </c>
    </row>
    <row r="29" spans="1:19">
      <c r="A29" s="19">
        <v>15</v>
      </c>
      <c r="B29" s="19"/>
      <c r="C29" s="33" t="s">
        <v>57</v>
      </c>
      <c r="D29" s="30"/>
      <c r="E29" s="34">
        <v>4.0599999999999996</v>
      </c>
      <c r="F29" s="35"/>
      <c r="G29" s="34">
        <v>4.1100000000000003</v>
      </c>
      <c r="H29" s="35"/>
      <c r="I29" s="34">
        <v>4.0599999999999996</v>
      </c>
      <c r="J29" s="36"/>
      <c r="K29" s="122">
        <v>4.08</v>
      </c>
      <c r="L29" s="31"/>
      <c r="M29" s="122">
        <v>4.1100000000000003</v>
      </c>
      <c r="O29" s="126">
        <f t="shared" si="2"/>
        <v>7.3529411764705621E-3</v>
      </c>
    </row>
    <row r="30" spans="1:19">
      <c r="A30" s="19"/>
      <c r="B30" s="19"/>
      <c r="C30" s="33" t="str">
        <f>+'Water Rate Design'!B40</f>
        <v>0-8k</v>
      </c>
      <c r="D30" s="30"/>
      <c r="E30" s="34"/>
      <c r="F30" s="35"/>
      <c r="G30" s="34"/>
      <c r="H30" s="35"/>
      <c r="I30" s="34"/>
      <c r="J30" s="36"/>
      <c r="K30" s="122"/>
      <c r="L30" s="31"/>
      <c r="M30" s="122"/>
      <c r="O30" s="126"/>
      <c r="Q30" s="122">
        <f>+'Water Rate Design'!I40</f>
        <v>1.97</v>
      </c>
      <c r="S30" s="126">
        <f>+Q30/K27-1</f>
        <v>-0.1652542372881356</v>
      </c>
    </row>
    <row r="31" spans="1:19">
      <c r="A31" s="19"/>
      <c r="B31" s="19"/>
      <c r="C31" s="33" t="str">
        <f>+'Water Rate Design'!B41</f>
        <v>8-16k</v>
      </c>
      <c r="D31" s="30"/>
      <c r="E31" s="34"/>
      <c r="F31" s="35"/>
      <c r="G31" s="34"/>
      <c r="H31" s="35"/>
      <c r="I31" s="34"/>
      <c r="J31" s="36"/>
      <c r="K31" s="122"/>
      <c r="L31" s="31"/>
      <c r="M31" s="122"/>
      <c r="O31" s="126"/>
      <c r="Q31" s="122">
        <f>+'Water Rate Design'!I41</f>
        <v>2.95</v>
      </c>
      <c r="S31" s="126">
        <f>+Q31/K28-1</f>
        <v>8.0586080586080744E-2</v>
      </c>
    </row>
    <row r="32" spans="1:19">
      <c r="A32" s="19"/>
      <c r="B32" s="19"/>
      <c r="C32" s="33" t="str">
        <f>+'Water Rate Design'!B42</f>
        <v>+16k</v>
      </c>
      <c r="D32" s="30"/>
      <c r="E32" s="34"/>
      <c r="F32" s="35"/>
      <c r="G32" s="34"/>
      <c r="H32" s="35"/>
      <c r="I32" s="34"/>
      <c r="J32" s="36"/>
      <c r="K32" s="122"/>
      <c r="L32" s="31"/>
      <c r="M32" s="122"/>
      <c r="O32" s="126"/>
      <c r="Q32" s="122">
        <f>+'Water Rate Design'!I42</f>
        <v>3.93</v>
      </c>
      <c r="S32" s="126">
        <f>+Q32/K29-1</f>
        <v>-3.6764705882352922E-2</v>
      </c>
    </row>
    <row r="33" spans="1:19">
      <c r="A33" s="19">
        <v>16</v>
      </c>
      <c r="B33" s="19"/>
      <c r="C33" s="38"/>
      <c r="D33" s="30"/>
      <c r="E33" s="35"/>
      <c r="F33" s="35"/>
      <c r="G33" s="35"/>
      <c r="H33" s="35"/>
      <c r="I33" s="39"/>
      <c r="J33" s="40"/>
      <c r="L33" s="27"/>
    </row>
    <row r="34" spans="1:19">
      <c r="A34" s="19">
        <v>17</v>
      </c>
      <c r="B34" s="19"/>
      <c r="C34" s="41" t="s">
        <v>37</v>
      </c>
      <c r="D34" s="42"/>
      <c r="E34" s="43"/>
      <c r="F34" s="43"/>
      <c r="G34" s="43"/>
      <c r="H34" s="43"/>
      <c r="I34" s="43"/>
      <c r="J34" s="44"/>
      <c r="L34" s="27"/>
    </row>
    <row r="35" spans="1:19">
      <c r="A35" s="19">
        <v>18</v>
      </c>
      <c r="B35" s="19">
        <v>68006</v>
      </c>
      <c r="C35" s="22" t="s">
        <v>38</v>
      </c>
      <c r="D35" s="23"/>
      <c r="E35" s="24">
        <v>9.58</v>
      </c>
      <c r="F35" s="25"/>
      <c r="G35" s="34">
        <v>9.69</v>
      </c>
      <c r="H35" s="25"/>
      <c r="I35" s="34">
        <v>9.57</v>
      </c>
      <c r="J35" s="26"/>
      <c r="K35" s="122">
        <v>9.61</v>
      </c>
      <c r="L35" s="27"/>
      <c r="M35" s="122">
        <f>+M15</f>
        <v>9.68</v>
      </c>
      <c r="O35" s="126">
        <f t="shared" ref="O35:O44" si="3">+M35/K35-1</f>
        <v>7.2840790842871872E-3</v>
      </c>
      <c r="Q35" s="122">
        <f>+Q15</f>
        <v>11.54</v>
      </c>
      <c r="S35" s="126">
        <f t="shared" ref="S35:S46" si="4">+Q35/K35-1</f>
        <v>0.20083246618106143</v>
      </c>
    </row>
    <row r="36" spans="1:19">
      <c r="A36" s="19"/>
      <c r="B36" s="19"/>
      <c r="C36" s="22" t="s">
        <v>26</v>
      </c>
      <c r="D36" s="23"/>
      <c r="E36" s="24"/>
      <c r="F36" s="25"/>
      <c r="G36" s="34"/>
      <c r="H36" s="25"/>
      <c r="I36" s="34"/>
      <c r="J36" s="26"/>
      <c r="K36" s="122"/>
      <c r="L36" s="27"/>
      <c r="M36" s="122"/>
      <c r="O36" s="126"/>
      <c r="Q36" s="122">
        <f>+Q16</f>
        <v>17.309999999999999</v>
      </c>
      <c r="S36" s="126"/>
    </row>
    <row r="37" spans="1:19">
      <c r="A37" s="19">
        <v>19</v>
      </c>
      <c r="B37" s="19">
        <v>68006</v>
      </c>
      <c r="C37" s="29" t="s">
        <v>27</v>
      </c>
      <c r="D37" s="30"/>
      <c r="E37" s="24">
        <v>23.94</v>
      </c>
      <c r="F37" s="25"/>
      <c r="G37" s="34">
        <v>24.22</v>
      </c>
      <c r="H37" s="25"/>
      <c r="I37" s="34">
        <v>23.92</v>
      </c>
      <c r="J37" s="26"/>
      <c r="K37" s="122">
        <v>24.02</v>
      </c>
      <c r="L37" s="27"/>
      <c r="M37" s="122">
        <f t="shared" ref="M37:M44" si="5">+M17</f>
        <v>24.2</v>
      </c>
      <c r="O37" s="126">
        <f t="shared" si="3"/>
        <v>7.4937552039966437E-3</v>
      </c>
      <c r="Q37" s="122">
        <f t="shared" ref="Q37:Q44" si="6">+Q17</f>
        <v>28.84</v>
      </c>
      <c r="S37" s="126">
        <f t="shared" si="4"/>
        <v>0.20066611157368852</v>
      </c>
    </row>
    <row r="38" spans="1:19">
      <c r="A38" s="19">
        <v>20</v>
      </c>
      <c r="B38" s="19">
        <v>68007</v>
      </c>
      <c r="C38" s="29" t="s">
        <v>28</v>
      </c>
      <c r="D38" s="30"/>
      <c r="E38" s="24">
        <v>47.87</v>
      </c>
      <c r="F38" s="25"/>
      <c r="G38" s="34">
        <v>48.44</v>
      </c>
      <c r="H38" s="25"/>
      <c r="I38" s="34">
        <v>47.85</v>
      </c>
      <c r="J38" s="26"/>
      <c r="K38" s="122">
        <v>48.05</v>
      </c>
      <c r="L38" s="27"/>
      <c r="M38" s="122">
        <f t="shared" si="5"/>
        <v>48.42</v>
      </c>
      <c r="O38" s="126">
        <f t="shared" si="3"/>
        <v>7.7003121748180359E-3</v>
      </c>
      <c r="Q38" s="122">
        <f t="shared" si="6"/>
        <v>57.69</v>
      </c>
      <c r="S38" s="126">
        <f t="shared" si="4"/>
        <v>0.20062434963579601</v>
      </c>
    </row>
    <row r="39" spans="1:19">
      <c r="A39" s="19">
        <v>21</v>
      </c>
      <c r="B39" s="19">
        <v>68008</v>
      </c>
      <c r="C39" s="29" t="s">
        <v>29</v>
      </c>
      <c r="D39" s="30"/>
      <c r="E39" s="24">
        <v>76.59</v>
      </c>
      <c r="F39" s="25"/>
      <c r="G39" s="34">
        <v>77.5</v>
      </c>
      <c r="H39" s="25"/>
      <c r="I39" s="34">
        <v>76.55</v>
      </c>
      <c r="J39" s="26"/>
      <c r="K39" s="122">
        <v>76.87</v>
      </c>
      <c r="L39" s="27"/>
      <c r="M39" s="122">
        <f t="shared" si="5"/>
        <v>77.45</v>
      </c>
      <c r="O39" s="126">
        <f t="shared" si="3"/>
        <v>7.5452061922727243E-3</v>
      </c>
      <c r="Q39" s="122">
        <f t="shared" si="6"/>
        <v>92.3</v>
      </c>
      <c r="S39" s="126">
        <f t="shared" si="4"/>
        <v>0.20072850266683995</v>
      </c>
    </row>
    <row r="40" spans="1:19">
      <c r="A40" s="19">
        <v>22</v>
      </c>
      <c r="B40" s="19">
        <v>68009</v>
      </c>
      <c r="C40" s="29" t="s">
        <v>30</v>
      </c>
      <c r="D40" s="30"/>
      <c r="E40" s="24">
        <v>153.18</v>
      </c>
      <c r="F40" s="25"/>
      <c r="G40" s="34">
        <v>155</v>
      </c>
      <c r="H40" s="25"/>
      <c r="I40" s="34">
        <v>153.11000000000001</v>
      </c>
      <c r="J40" s="26"/>
      <c r="K40" s="122">
        <v>153.75</v>
      </c>
      <c r="L40" s="27"/>
      <c r="M40" s="122">
        <f t="shared" si="5"/>
        <v>154.91999999999999</v>
      </c>
      <c r="O40" s="126">
        <f t="shared" si="3"/>
        <v>7.6097560975609824E-3</v>
      </c>
      <c r="Q40" s="122">
        <f t="shared" si="6"/>
        <v>184.59</v>
      </c>
      <c r="S40" s="126">
        <f t="shared" si="4"/>
        <v>0.20058536585365849</v>
      </c>
    </row>
    <row r="41" spans="1:19">
      <c r="A41" s="19">
        <v>23</v>
      </c>
      <c r="B41" s="19">
        <v>68005</v>
      </c>
      <c r="C41" s="29" t="s">
        <v>31</v>
      </c>
      <c r="D41" s="30"/>
      <c r="E41" s="24">
        <v>239.35</v>
      </c>
      <c r="F41" s="25"/>
      <c r="G41" s="34">
        <v>242.2</v>
      </c>
      <c r="H41" s="25"/>
      <c r="I41" s="34">
        <v>239.25</v>
      </c>
      <c r="J41" s="26"/>
      <c r="K41" s="122">
        <v>240.25</v>
      </c>
      <c r="L41" s="27"/>
      <c r="M41" s="122">
        <f t="shared" si="5"/>
        <v>242.08</v>
      </c>
      <c r="O41" s="126">
        <f t="shared" si="3"/>
        <v>7.6170655567118217E-3</v>
      </c>
      <c r="Q41" s="122">
        <f t="shared" si="6"/>
        <v>288.43</v>
      </c>
      <c r="S41" s="126">
        <f t="shared" si="4"/>
        <v>0.20054110301769001</v>
      </c>
    </row>
    <row r="42" spans="1:19">
      <c r="A42" s="19">
        <v>24</v>
      </c>
      <c r="B42" s="19">
        <v>68016</v>
      </c>
      <c r="C42" s="29" t="s">
        <v>32</v>
      </c>
      <c r="D42" s="30"/>
      <c r="E42" s="24">
        <v>478.69</v>
      </c>
      <c r="F42" s="25"/>
      <c r="G42" s="34">
        <v>484.39</v>
      </c>
      <c r="H42" s="25"/>
      <c r="I42" s="34">
        <v>478.48</v>
      </c>
      <c r="J42" s="26"/>
      <c r="K42" s="122">
        <v>480.47</v>
      </c>
      <c r="L42" s="31"/>
      <c r="M42" s="122">
        <f t="shared" si="5"/>
        <v>484.12</v>
      </c>
      <c r="O42" s="126">
        <f t="shared" si="3"/>
        <v>7.5967282036339956E-3</v>
      </c>
      <c r="Q42" s="122">
        <f t="shared" si="6"/>
        <v>576.86</v>
      </c>
      <c r="S42" s="126">
        <f t="shared" si="4"/>
        <v>0.20061606343788374</v>
      </c>
    </row>
    <row r="43" spans="1:19">
      <c r="A43" s="19">
        <v>25</v>
      </c>
      <c r="B43" s="19">
        <v>68017</v>
      </c>
      <c r="C43" s="22" t="s">
        <v>48</v>
      </c>
      <c r="D43" s="30"/>
      <c r="E43" s="24">
        <v>861.62</v>
      </c>
      <c r="F43" s="25"/>
      <c r="G43" s="34">
        <v>871.87</v>
      </c>
      <c r="H43" s="25"/>
      <c r="I43" s="34">
        <v>861.24</v>
      </c>
      <c r="J43" s="26"/>
      <c r="K43" s="122">
        <v>864.83</v>
      </c>
      <c r="L43" s="36"/>
      <c r="M43" s="122">
        <f t="shared" si="5"/>
        <v>871.4</v>
      </c>
      <c r="O43" s="126">
        <f t="shared" si="3"/>
        <v>7.5968687487713016E-3</v>
      </c>
      <c r="Q43" s="122">
        <f t="shared" si="6"/>
        <v>922.97</v>
      </c>
      <c r="S43" s="126">
        <f t="shared" si="4"/>
        <v>6.72270850918677E-2</v>
      </c>
    </row>
    <row r="44" spans="1:19">
      <c r="A44" s="19">
        <v>26</v>
      </c>
      <c r="B44" s="19">
        <v>68018</v>
      </c>
      <c r="C44" s="22" t="s">
        <v>54</v>
      </c>
      <c r="D44" s="30"/>
      <c r="E44" s="24">
        <v>1388.19</v>
      </c>
      <c r="F44" s="25"/>
      <c r="G44" s="34">
        <v>1404.71</v>
      </c>
      <c r="H44" s="25"/>
      <c r="I44" s="34">
        <v>1387.58</v>
      </c>
      <c r="J44" s="26"/>
      <c r="K44" s="122">
        <v>1393.36</v>
      </c>
      <c r="L44" s="36"/>
      <c r="M44" s="122">
        <f t="shared" si="5"/>
        <v>1403.95</v>
      </c>
      <c r="O44" s="126">
        <f t="shared" si="3"/>
        <v>7.6003330079807974E-3</v>
      </c>
      <c r="Q44" s="122">
        <f t="shared" si="6"/>
        <v>1672.89</v>
      </c>
      <c r="S44" s="126">
        <f t="shared" si="4"/>
        <v>0.20061577768846539</v>
      </c>
    </row>
    <row r="45" spans="1:19">
      <c r="A45" s="19">
        <v>27</v>
      </c>
      <c r="B45" s="19"/>
      <c r="C45" s="22"/>
      <c r="D45" s="30"/>
      <c r="E45" s="26"/>
      <c r="F45" s="25"/>
      <c r="G45" s="25"/>
      <c r="H45" s="25"/>
      <c r="I45" s="26"/>
      <c r="J45" s="26"/>
      <c r="L45" s="36"/>
    </row>
    <row r="46" spans="1:19">
      <c r="A46" s="19">
        <v>28</v>
      </c>
      <c r="B46" s="19"/>
      <c r="C46" s="33" t="s">
        <v>33</v>
      </c>
      <c r="E46" s="34">
        <v>3.2</v>
      </c>
      <c r="F46" s="46"/>
      <c r="G46" s="34">
        <v>3.24</v>
      </c>
      <c r="H46" s="46"/>
      <c r="I46" s="34">
        <v>3.2</v>
      </c>
      <c r="J46" s="47"/>
      <c r="K46" s="122">
        <v>3.21</v>
      </c>
      <c r="L46" s="27"/>
      <c r="M46" s="122">
        <v>3.23</v>
      </c>
      <c r="O46" s="126">
        <f>+M46/K46-1</f>
        <v>6.230529595015577E-3</v>
      </c>
      <c r="Q46" s="122">
        <f>+'Water Rate Design'!I45</f>
        <v>2.98</v>
      </c>
      <c r="S46" s="126">
        <f t="shared" si="4"/>
        <v>-7.1651090342679136E-2</v>
      </c>
    </row>
    <row r="47" spans="1:19">
      <c r="A47" s="19"/>
      <c r="B47" s="19"/>
      <c r="C47" s="3"/>
      <c r="L47" s="27"/>
    </row>
    <row r="48" spans="1:19">
      <c r="A48" s="19"/>
      <c r="C48" s="41" t="s">
        <v>58</v>
      </c>
      <c r="E48" s="36"/>
      <c r="F48" s="36"/>
      <c r="G48" s="36"/>
      <c r="H48" s="36"/>
      <c r="I48" s="36"/>
      <c r="J48" s="36"/>
      <c r="L48" s="27"/>
    </row>
    <row r="49" spans="1:17">
      <c r="A49" s="12"/>
      <c r="B49" s="12"/>
      <c r="C49" s="29" t="s">
        <v>31</v>
      </c>
      <c r="D49" s="48"/>
      <c r="E49" s="34">
        <v>1210</v>
      </c>
      <c r="G49" s="34">
        <v>1210</v>
      </c>
      <c r="I49" s="34">
        <v>1210</v>
      </c>
      <c r="K49" s="122">
        <v>1210</v>
      </c>
      <c r="L49" s="21"/>
      <c r="M49" s="122">
        <f>+K49</f>
        <v>1210</v>
      </c>
      <c r="O49" s="126">
        <f t="shared" ref="O49:O53" si="7">+M49/K49-1</f>
        <v>0</v>
      </c>
      <c r="Q49" s="122">
        <f>+'LUSI(w)'!M49</f>
        <v>1210</v>
      </c>
    </row>
    <row r="50" spans="1:17">
      <c r="A50" s="12"/>
      <c r="B50" s="12"/>
      <c r="C50" s="29" t="s">
        <v>32</v>
      </c>
      <c r="E50" s="34">
        <v>2420</v>
      </c>
      <c r="G50" s="34">
        <v>2420</v>
      </c>
      <c r="I50" s="34">
        <v>2420</v>
      </c>
      <c r="K50" s="122">
        <v>2420</v>
      </c>
      <c r="L50" s="21"/>
      <c r="M50" s="122">
        <f t="shared" ref="M50:M53" si="8">+K50</f>
        <v>2420</v>
      </c>
      <c r="O50" s="126">
        <f t="shared" si="7"/>
        <v>0</v>
      </c>
      <c r="Q50" s="122">
        <f>+'LUSI(w)'!M50</f>
        <v>2420</v>
      </c>
    </row>
    <row r="51" spans="1:17">
      <c r="A51" s="12"/>
      <c r="B51" s="12"/>
      <c r="C51" s="22" t="s">
        <v>48</v>
      </c>
      <c r="E51" s="34">
        <v>3872</v>
      </c>
      <c r="G51" s="34">
        <v>3872</v>
      </c>
      <c r="I51" s="34">
        <v>3872</v>
      </c>
      <c r="K51" s="122">
        <v>3872</v>
      </c>
      <c r="L51" s="21"/>
      <c r="M51" s="122">
        <f t="shared" si="8"/>
        <v>3872</v>
      </c>
      <c r="O51" s="126">
        <f t="shared" si="7"/>
        <v>0</v>
      </c>
      <c r="Q51" s="122">
        <f>+'LUSI(w)'!M51</f>
        <v>3872</v>
      </c>
    </row>
    <row r="52" spans="1:17">
      <c r="A52" s="12"/>
      <c r="B52" s="12"/>
      <c r="C52" s="22" t="s">
        <v>54</v>
      </c>
      <c r="E52" s="34">
        <v>5565</v>
      </c>
      <c r="F52" s="50"/>
      <c r="G52" s="34">
        <v>5565</v>
      </c>
      <c r="H52" s="50"/>
      <c r="I52" s="34">
        <v>5565</v>
      </c>
      <c r="J52" s="50"/>
      <c r="K52" s="122">
        <v>5565</v>
      </c>
      <c r="L52" s="51"/>
      <c r="M52" s="122">
        <f t="shared" si="8"/>
        <v>5565</v>
      </c>
      <c r="O52" s="126">
        <f t="shared" si="7"/>
        <v>0</v>
      </c>
      <c r="Q52" s="122">
        <f>+'LUSI(w)'!M52</f>
        <v>5565</v>
      </c>
    </row>
    <row r="53" spans="1:17">
      <c r="A53" s="12"/>
      <c r="B53" s="12"/>
      <c r="C53" s="29" t="s">
        <v>59</v>
      </c>
      <c r="E53" s="34">
        <v>10405</v>
      </c>
      <c r="G53" s="34">
        <v>10405</v>
      </c>
      <c r="I53" s="34">
        <v>10405</v>
      </c>
      <c r="K53" s="122">
        <v>10405</v>
      </c>
      <c r="L53" s="21"/>
      <c r="M53" s="122">
        <f t="shared" si="8"/>
        <v>10405</v>
      </c>
      <c r="O53" s="126">
        <f t="shared" si="7"/>
        <v>0</v>
      </c>
      <c r="Q53" s="122">
        <f>+'LUSI(w)'!M53</f>
        <v>10405</v>
      </c>
    </row>
    <row r="54" spans="1:17">
      <c r="A54" s="12"/>
      <c r="B54" s="12"/>
      <c r="C54" s="52"/>
      <c r="K54" s="21"/>
      <c r="L54" s="21"/>
      <c r="M54" s="21"/>
    </row>
    <row r="55" spans="1:17">
      <c r="A55" s="12"/>
      <c r="B55" s="12"/>
      <c r="C55" s="52"/>
      <c r="K55" s="21"/>
      <c r="L55" s="21"/>
      <c r="M55" s="21"/>
    </row>
    <row r="56" spans="1:17">
      <c r="A56" s="12"/>
      <c r="B56" s="12"/>
      <c r="C56" s="53"/>
      <c r="K56" s="21"/>
      <c r="L56" s="21"/>
      <c r="M56" s="21"/>
    </row>
    <row r="57" spans="1:17">
      <c r="A57" s="12"/>
      <c r="B57" s="12"/>
      <c r="C57" s="29"/>
      <c r="K57" s="21"/>
      <c r="L57" s="21"/>
      <c r="M57" s="21"/>
    </row>
    <row r="58" spans="1:17">
      <c r="A58" s="12"/>
      <c r="B58" s="12"/>
      <c r="C58" s="29"/>
      <c r="K58" s="21"/>
      <c r="L58" s="21"/>
      <c r="M58" s="21"/>
    </row>
    <row r="59" spans="1:17">
      <c r="A59" s="12"/>
      <c r="B59" s="12"/>
      <c r="C59" s="29"/>
      <c r="K59" s="21"/>
      <c r="L59" s="21"/>
      <c r="M59" s="21"/>
    </row>
    <row r="60" spans="1:17">
      <c r="A60" s="12"/>
      <c r="B60" s="12"/>
      <c r="C60" s="29"/>
      <c r="K60" s="21"/>
      <c r="L60" s="21"/>
      <c r="M60" s="21"/>
    </row>
    <row r="61" spans="1:17">
      <c r="A61" s="12"/>
      <c r="B61" s="12"/>
      <c r="C61" s="29"/>
      <c r="K61" s="21"/>
      <c r="L61" s="21"/>
      <c r="M61" s="21"/>
    </row>
    <row r="62" spans="1:17">
      <c r="A62" s="12"/>
      <c r="B62" s="12"/>
      <c r="C62" s="29"/>
      <c r="K62" s="21"/>
      <c r="L62" s="21"/>
      <c r="M62" s="21"/>
    </row>
    <row r="63" spans="1:17">
      <c r="A63" s="12"/>
      <c r="B63" s="12"/>
      <c r="C63" s="29"/>
      <c r="K63" s="21"/>
      <c r="L63" s="21"/>
      <c r="M63" s="21"/>
    </row>
    <row r="64" spans="1:17">
      <c r="A64" s="12"/>
      <c r="B64" s="12"/>
      <c r="C64" s="41"/>
      <c r="K64" s="21"/>
      <c r="L64" s="21"/>
      <c r="M64" s="21"/>
    </row>
    <row r="65" spans="1:13">
      <c r="A65" s="12"/>
      <c r="B65" s="12"/>
      <c r="C65" s="29"/>
      <c r="K65" s="21"/>
      <c r="L65" s="21"/>
      <c r="M65" s="21"/>
    </row>
    <row r="66" spans="1:13">
      <c r="A66" s="12"/>
      <c r="B66" s="12"/>
      <c r="C66" s="29"/>
      <c r="K66" s="21"/>
      <c r="L66" s="21"/>
      <c r="M66" s="21"/>
    </row>
    <row r="67" spans="1:13">
      <c r="A67" s="12"/>
      <c r="B67" s="12"/>
      <c r="C67" s="29"/>
      <c r="K67" s="21"/>
      <c r="L67" s="21"/>
      <c r="M67" s="21"/>
    </row>
    <row r="68" spans="1:13">
      <c r="A68" s="12"/>
      <c r="B68" s="12"/>
      <c r="C68" s="29"/>
      <c r="K68" s="21"/>
      <c r="L68" s="21"/>
      <c r="M68" s="21"/>
    </row>
    <row r="69" spans="1:13">
      <c r="A69" s="12"/>
      <c r="B69" s="12"/>
      <c r="C69" s="29"/>
      <c r="K69" s="21"/>
      <c r="L69" s="21"/>
      <c r="M69" s="21"/>
    </row>
    <row r="70" spans="1:13">
      <c r="A70" s="12"/>
      <c r="B70" s="12"/>
      <c r="C70" s="29"/>
      <c r="K70" s="21"/>
      <c r="L70" s="21"/>
      <c r="M70" s="21"/>
    </row>
    <row r="71" spans="1:13">
      <c r="A71" s="12"/>
      <c r="B71" s="12"/>
      <c r="C71" s="29"/>
    </row>
    <row r="108" spans="11:11">
      <c r="K108" s="54"/>
    </row>
    <row r="111" spans="11:11">
      <c r="K111" s="54"/>
    </row>
    <row r="234" spans="1:10">
      <c r="E234" s="55"/>
      <c r="F234" s="55"/>
      <c r="G234" s="55"/>
      <c r="H234" s="55"/>
      <c r="I234" s="55"/>
      <c r="J234" s="55"/>
    </row>
    <row r="235" spans="1:10">
      <c r="E235" s="55"/>
      <c r="F235" s="55"/>
      <c r="G235" s="55"/>
      <c r="H235" s="55"/>
      <c r="I235" s="55"/>
      <c r="J235" s="55"/>
    </row>
    <row r="236" spans="1:10">
      <c r="E236" s="55"/>
      <c r="F236" s="55"/>
      <c r="G236" s="55"/>
      <c r="H236" s="55"/>
      <c r="I236" s="55"/>
      <c r="J236" s="55"/>
    </row>
    <row r="237" spans="1:10">
      <c r="A237" s="55"/>
      <c r="B237" s="55"/>
      <c r="C237" s="56"/>
      <c r="D237" s="55"/>
      <c r="E237" s="55"/>
      <c r="F237" s="55"/>
      <c r="G237" s="55"/>
      <c r="H237" s="55"/>
      <c r="I237" s="55"/>
      <c r="J237" s="55"/>
    </row>
    <row r="238" spans="1:10">
      <c r="A238" s="55"/>
      <c r="B238" s="55"/>
      <c r="C238" s="56"/>
      <c r="D238" s="55"/>
      <c r="E238" s="55"/>
      <c r="F238" s="55"/>
      <c r="G238" s="55"/>
      <c r="H238" s="55"/>
      <c r="I238" s="55"/>
      <c r="J238" s="55"/>
    </row>
    <row r="239" spans="1:10">
      <c r="A239" s="55"/>
      <c r="B239" s="55"/>
      <c r="C239" s="56"/>
      <c r="D239" s="55"/>
    </row>
    <row r="240" spans="1:10">
      <c r="A240" s="55"/>
      <c r="B240" s="55"/>
      <c r="C240" s="56"/>
      <c r="D240" s="55"/>
    </row>
    <row r="241" spans="1:4">
      <c r="A241" s="55"/>
      <c r="B241" s="55"/>
      <c r="C241" s="56"/>
      <c r="D241" s="55"/>
    </row>
    <row r="268" spans="1:10">
      <c r="E268" s="55"/>
      <c r="F268" s="55"/>
      <c r="G268" s="55"/>
      <c r="H268" s="55"/>
      <c r="I268" s="55"/>
      <c r="J268" s="55"/>
    </row>
    <row r="271" spans="1:10">
      <c r="A271" s="55"/>
      <c r="B271" s="55"/>
      <c r="C271" s="56"/>
      <c r="D271" s="55"/>
    </row>
    <row r="340" spans="1:2">
      <c r="A340" s="1"/>
      <c r="B340" s="1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  <row r="408" spans="1:2">
      <c r="A408" s="55"/>
      <c r="B408" s="55"/>
    </row>
    <row r="409" spans="1:2">
      <c r="A409" s="55"/>
      <c r="B409" s="55"/>
    </row>
    <row r="410" spans="1:2">
      <c r="A410" s="55"/>
      <c r="B410" s="55"/>
    </row>
    <row r="411" spans="1:2">
      <c r="A411" s="55"/>
      <c r="B411" s="55"/>
    </row>
  </sheetData>
  <pageMargins left="0.7" right="0.7" top="0.75" bottom="0.75" header="0.3" footer="0.3"/>
  <pageSetup scale="8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8"/>
  <sheetViews>
    <sheetView topLeftCell="A7" workbookViewId="0">
      <selection activeCell="K45" sqref="K45"/>
    </sheetView>
  </sheetViews>
  <sheetFormatPr defaultColWidth="10.85546875" defaultRowHeight="12"/>
  <cols>
    <col min="1" max="1" width="6.85546875" style="3" customWidth="1"/>
    <col min="2" max="2" width="8.42578125" style="3" hidden="1" customWidth="1"/>
    <col min="3" max="3" width="29" style="28" customWidth="1"/>
    <col min="4" max="4" width="1.7109375" style="3" customWidth="1"/>
    <col min="5" max="5" width="10.7109375" style="3" hidden="1" customWidth="1"/>
    <col min="6" max="6" width="1.7109375" style="3" hidden="1" customWidth="1"/>
    <col min="7" max="7" width="10.7109375" style="3" hidden="1" customWidth="1"/>
    <col min="8" max="8" width="1.7109375" style="3" hidden="1" customWidth="1"/>
    <col min="9" max="9" width="10.7109375" style="3" customWidth="1"/>
    <col min="10" max="10" width="2.7109375" style="3" customWidth="1"/>
    <col min="11" max="11" width="11.85546875" style="3" customWidth="1"/>
    <col min="12" max="12" width="1.5703125" style="3" customWidth="1"/>
    <col min="13" max="13" width="10.85546875" style="3"/>
    <col min="14" max="14" width="1.7109375" style="3" customWidth="1"/>
    <col min="15" max="15" width="10.85546875" style="3"/>
    <col min="16" max="16" width="1.7109375" style="3" customWidth="1"/>
    <col min="17" max="16384" width="10.85546875" style="3"/>
  </cols>
  <sheetData>
    <row r="1" spans="1:17">
      <c r="A1" s="1" t="s">
        <v>0</v>
      </c>
      <c r="B1" s="1"/>
      <c r="C1" s="2"/>
      <c r="E1" s="1"/>
      <c r="F1" s="1"/>
      <c r="G1" s="1"/>
      <c r="H1" s="1"/>
      <c r="I1" s="4" t="s">
        <v>1</v>
      </c>
      <c r="K1" s="4"/>
    </row>
    <row r="2" spans="1:17">
      <c r="A2" s="1"/>
      <c r="B2" s="1"/>
      <c r="C2" s="2"/>
      <c r="E2" s="1"/>
      <c r="F2" s="1"/>
      <c r="G2" s="1"/>
      <c r="H2" s="1"/>
      <c r="I2" s="4"/>
      <c r="K2" s="4"/>
    </row>
    <row r="3" spans="1:17">
      <c r="A3" s="1" t="s">
        <v>60</v>
      </c>
      <c r="B3" s="1"/>
      <c r="C3" s="2"/>
      <c r="E3" s="1"/>
      <c r="F3" s="1"/>
      <c r="G3" s="1"/>
      <c r="H3" s="1"/>
      <c r="I3" s="4"/>
      <c r="K3" s="4"/>
    </row>
    <row r="4" spans="1:17">
      <c r="A4" s="1" t="s">
        <v>4</v>
      </c>
      <c r="B4" s="1"/>
      <c r="C4" s="2"/>
      <c r="E4" s="1"/>
      <c r="F4" s="1"/>
      <c r="G4" s="1"/>
      <c r="H4" s="1"/>
      <c r="I4" s="5"/>
      <c r="K4" s="4"/>
    </row>
    <row r="5" spans="1:17">
      <c r="A5" s="1" t="s">
        <v>6</v>
      </c>
      <c r="B5" s="1"/>
      <c r="C5" s="2"/>
      <c r="E5" s="1"/>
      <c r="F5" s="1"/>
      <c r="G5" s="1"/>
      <c r="H5" s="1"/>
      <c r="I5" s="4"/>
      <c r="K5" s="4"/>
    </row>
    <row r="6" spans="1:17">
      <c r="A6" s="1" t="s">
        <v>8</v>
      </c>
      <c r="B6" s="1"/>
      <c r="C6" s="2"/>
      <c r="D6" s="1"/>
      <c r="E6" s="1"/>
      <c r="F6" s="1"/>
      <c r="G6" s="1"/>
      <c r="H6" s="1"/>
      <c r="I6" s="4"/>
      <c r="J6" s="4"/>
      <c r="K6" s="4"/>
    </row>
    <row r="7" spans="1:17">
      <c r="A7" s="1" t="s">
        <v>9</v>
      </c>
      <c r="B7" s="1"/>
      <c r="C7" s="2"/>
      <c r="D7" s="1"/>
      <c r="E7" s="1"/>
      <c r="F7" s="1"/>
      <c r="G7" s="1"/>
      <c r="H7" s="1"/>
      <c r="I7" s="1"/>
      <c r="J7" s="1"/>
      <c r="K7" s="1"/>
    </row>
    <row r="8" spans="1:17">
      <c r="A8" s="6" t="s">
        <v>10</v>
      </c>
      <c r="B8" s="6"/>
      <c r="C8" s="2"/>
      <c r="D8" s="1"/>
      <c r="E8" s="1"/>
      <c r="F8" s="1"/>
      <c r="G8" s="1"/>
      <c r="H8" s="1"/>
      <c r="I8" s="1"/>
      <c r="J8" s="1"/>
      <c r="K8" s="1"/>
    </row>
    <row r="9" spans="1:17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>
      <c r="A10" s="9"/>
      <c r="B10" s="10" t="s">
        <v>11</v>
      </c>
      <c r="C10" s="11"/>
      <c r="D10" s="12"/>
      <c r="E10" s="11"/>
      <c r="G10" s="11"/>
      <c r="H10" s="13"/>
      <c r="I10" s="11"/>
      <c r="K10" s="11"/>
      <c r="L10" s="11"/>
      <c r="M10" s="11"/>
      <c r="N10" s="11"/>
      <c r="O10" s="11"/>
      <c r="Q10" s="11"/>
    </row>
    <row r="11" spans="1:17">
      <c r="C11" s="2"/>
      <c r="D11" s="1"/>
      <c r="E11" s="12" t="s">
        <v>12</v>
      </c>
      <c r="F11" s="1"/>
      <c r="G11" s="12" t="s">
        <v>12</v>
      </c>
      <c r="H11" s="1"/>
      <c r="J11" s="12"/>
      <c r="K11" s="12"/>
      <c r="L11" s="12"/>
      <c r="M11" s="12" t="s">
        <v>184</v>
      </c>
      <c r="O11" s="12" t="s">
        <v>183</v>
      </c>
      <c r="Q11" s="12" t="s">
        <v>184</v>
      </c>
    </row>
    <row r="12" spans="1:17">
      <c r="A12" s="12" t="s">
        <v>14</v>
      </c>
      <c r="B12" s="12" t="s">
        <v>15</v>
      </c>
      <c r="C12" s="2"/>
      <c r="D12" s="1"/>
      <c r="E12" s="12" t="s">
        <v>16</v>
      </c>
      <c r="F12" s="1"/>
      <c r="G12" s="12" t="s">
        <v>16</v>
      </c>
      <c r="H12" s="1"/>
      <c r="I12" s="12" t="s">
        <v>13</v>
      </c>
      <c r="J12" s="12"/>
      <c r="K12" s="12" t="s">
        <v>18</v>
      </c>
      <c r="L12" s="12"/>
      <c r="M12" s="12" t="s">
        <v>185</v>
      </c>
      <c r="O12" s="12" t="s">
        <v>182</v>
      </c>
      <c r="Q12" s="12" t="s">
        <v>185</v>
      </c>
    </row>
    <row r="13" spans="1:17" ht="14.25">
      <c r="A13" s="14" t="s">
        <v>19</v>
      </c>
      <c r="B13" s="14" t="s">
        <v>20</v>
      </c>
      <c r="C13" s="15" t="s">
        <v>21</v>
      </c>
      <c r="D13" s="16"/>
      <c r="E13" s="17" t="s">
        <v>45</v>
      </c>
      <c r="F13" s="17"/>
      <c r="G13" s="17" t="s">
        <v>51</v>
      </c>
      <c r="H13" s="17"/>
      <c r="I13" s="130" t="s">
        <v>17</v>
      </c>
      <c r="J13" s="18"/>
      <c r="K13" s="14" t="s">
        <v>17</v>
      </c>
      <c r="L13" s="124"/>
      <c r="M13" s="125" t="s">
        <v>186</v>
      </c>
      <c r="O13" s="14" t="s">
        <v>17</v>
      </c>
      <c r="Q13" s="14" t="s">
        <v>186</v>
      </c>
    </row>
    <row r="14" spans="1:17">
      <c r="A14" s="19">
        <v>1</v>
      </c>
      <c r="B14" s="19"/>
      <c r="C14" s="20" t="s">
        <v>24</v>
      </c>
      <c r="I14" s="21"/>
      <c r="J14" s="21"/>
      <c r="K14" s="21"/>
    </row>
    <row r="15" spans="1:17">
      <c r="A15" s="19">
        <v>2</v>
      </c>
      <c r="B15" s="19">
        <v>68001</v>
      </c>
      <c r="C15" s="22" t="s">
        <v>25</v>
      </c>
      <c r="D15" s="23"/>
      <c r="E15" s="24">
        <v>4.9800000000000004</v>
      </c>
      <c r="F15" s="25"/>
      <c r="G15" s="24">
        <v>5.05</v>
      </c>
      <c r="H15" s="26"/>
      <c r="I15" s="122">
        <v>5.09</v>
      </c>
      <c r="J15" s="27"/>
      <c r="K15" s="122">
        <v>7.26</v>
      </c>
      <c r="M15" s="126">
        <f t="shared" ref="M15:M22" si="0">+K15/I15-1</f>
        <v>0.42632612966601169</v>
      </c>
      <c r="O15" s="122">
        <f>+'Water Rate Design'!I9</f>
        <v>11.54</v>
      </c>
      <c r="Q15" s="126">
        <f t="shared" ref="Q15:Q22" si="1">+O15/I15-1</f>
        <v>1.2671905697445971</v>
      </c>
    </row>
    <row r="16" spans="1:17">
      <c r="A16" s="19">
        <v>3</v>
      </c>
      <c r="B16" s="19">
        <v>68002</v>
      </c>
      <c r="C16" s="28" t="s">
        <v>26</v>
      </c>
      <c r="D16" s="23"/>
      <c r="E16" s="24">
        <v>7.25</v>
      </c>
      <c r="F16" s="25"/>
      <c r="G16" s="24">
        <v>7.35</v>
      </c>
      <c r="H16" s="26"/>
      <c r="I16" s="122">
        <v>7.41</v>
      </c>
      <c r="J16" s="27"/>
      <c r="K16" s="122">
        <v>10.57</v>
      </c>
      <c r="M16" s="126">
        <f t="shared" si="0"/>
        <v>0.42645074224021595</v>
      </c>
      <c r="O16" s="122">
        <f>+'Water Rate Design'!I10</f>
        <v>17.309999999999999</v>
      </c>
      <c r="Q16" s="126">
        <f t="shared" si="1"/>
        <v>1.3360323886639676</v>
      </c>
    </row>
    <row r="17" spans="1:17">
      <c r="A17" s="19">
        <v>4</v>
      </c>
      <c r="B17" s="19">
        <v>68003</v>
      </c>
      <c r="C17" s="29" t="s">
        <v>27</v>
      </c>
      <c r="D17" s="30"/>
      <c r="E17" s="24">
        <v>11.93</v>
      </c>
      <c r="F17" s="25"/>
      <c r="G17" s="24">
        <v>12.1</v>
      </c>
      <c r="H17" s="26"/>
      <c r="I17" s="122">
        <v>12.19</v>
      </c>
      <c r="J17" s="31"/>
      <c r="K17" s="122">
        <v>17.38</v>
      </c>
      <c r="M17" s="126">
        <f t="shared" si="0"/>
        <v>0.42575881870385568</v>
      </c>
      <c r="O17" s="122">
        <f>+'Water Rate Design'!I11</f>
        <v>28.84</v>
      </c>
      <c r="Q17" s="126">
        <f t="shared" si="1"/>
        <v>1.3658736669401148</v>
      </c>
    </row>
    <row r="18" spans="1:17">
      <c r="A18" s="19">
        <v>5</v>
      </c>
      <c r="B18" s="19">
        <v>68004</v>
      </c>
      <c r="C18" s="29" t="s">
        <v>28</v>
      </c>
      <c r="D18" s="30"/>
      <c r="E18" s="24">
        <v>24.29</v>
      </c>
      <c r="F18" s="25"/>
      <c r="G18" s="24">
        <v>24.63</v>
      </c>
      <c r="H18" s="26"/>
      <c r="I18" s="122">
        <v>24.82</v>
      </c>
      <c r="J18" s="27"/>
      <c r="K18" s="122">
        <v>35.4</v>
      </c>
      <c r="M18" s="126">
        <f t="shared" si="0"/>
        <v>0.42626913779210307</v>
      </c>
      <c r="O18" s="122">
        <f>+'Water Rate Design'!I12</f>
        <v>57.69</v>
      </c>
      <c r="Q18" s="126">
        <f t="shared" si="1"/>
        <v>1.3243352135374695</v>
      </c>
    </row>
    <row r="19" spans="1:17">
      <c r="A19" s="19">
        <v>6</v>
      </c>
      <c r="B19" s="19"/>
      <c r="C19" s="29" t="s">
        <v>29</v>
      </c>
      <c r="D19" s="30"/>
      <c r="E19" s="24">
        <v>38.14</v>
      </c>
      <c r="F19" s="25"/>
      <c r="G19" s="24">
        <v>38.68</v>
      </c>
      <c r="H19" s="26"/>
      <c r="I19" s="122">
        <v>38.979999999999997</v>
      </c>
      <c r="J19" s="27"/>
      <c r="K19" s="122">
        <v>55.6</v>
      </c>
      <c r="M19" s="126">
        <f t="shared" si="0"/>
        <v>0.42637249871729099</v>
      </c>
      <c r="O19" s="122">
        <f>+'Water Rate Design'!I13</f>
        <v>92.3</v>
      </c>
      <c r="Q19" s="126">
        <f t="shared" si="1"/>
        <v>1.3678809645972296</v>
      </c>
    </row>
    <row r="20" spans="1:17">
      <c r="A20" s="19">
        <v>7</v>
      </c>
      <c r="B20" s="19"/>
      <c r="C20" s="29" t="s">
        <v>30</v>
      </c>
      <c r="D20" s="30"/>
      <c r="E20" s="24">
        <v>77.81</v>
      </c>
      <c r="F20" s="25"/>
      <c r="G20" s="24">
        <v>78.91</v>
      </c>
      <c r="H20" s="26"/>
      <c r="I20" s="122">
        <v>79.53</v>
      </c>
      <c r="J20" s="27"/>
      <c r="K20" s="122">
        <v>113.43</v>
      </c>
      <c r="M20" s="126">
        <f t="shared" si="0"/>
        <v>0.42625424368162967</v>
      </c>
      <c r="O20" s="122">
        <f>+'Water Rate Design'!I14</f>
        <v>184.59</v>
      </c>
      <c r="Q20" s="126">
        <f t="shared" si="1"/>
        <v>1.3210109392682008</v>
      </c>
    </row>
    <row r="21" spans="1:17">
      <c r="A21" s="19">
        <v>8</v>
      </c>
      <c r="B21" s="19"/>
      <c r="C21" s="29" t="s">
        <v>31</v>
      </c>
      <c r="D21" s="30"/>
      <c r="E21" s="24">
        <v>119.21</v>
      </c>
      <c r="F21" s="25"/>
      <c r="G21" s="24">
        <v>120.19</v>
      </c>
      <c r="H21" s="26"/>
      <c r="I21" s="122">
        <v>121.84</v>
      </c>
      <c r="J21" s="27"/>
      <c r="K21" s="122">
        <v>173.78</v>
      </c>
      <c r="M21" s="126">
        <f t="shared" si="0"/>
        <v>0.42629678266579107</v>
      </c>
      <c r="O21" s="122">
        <f>+'Water Rate Design'!I15</f>
        <v>288.43</v>
      </c>
      <c r="Q21" s="126">
        <f t="shared" si="1"/>
        <v>1.367284963887065</v>
      </c>
    </row>
    <row r="22" spans="1:17">
      <c r="A22" s="19">
        <v>9</v>
      </c>
      <c r="B22" s="19"/>
      <c r="C22" s="29" t="s">
        <v>32</v>
      </c>
      <c r="D22" s="30"/>
      <c r="E22" s="24">
        <v>242.74</v>
      </c>
      <c r="F22" s="25"/>
      <c r="G22" s="24">
        <v>246.19</v>
      </c>
      <c r="H22" s="26"/>
      <c r="I22" s="122">
        <v>248.11</v>
      </c>
      <c r="J22" s="27"/>
      <c r="K22" s="122">
        <v>353.88</v>
      </c>
      <c r="M22" s="126">
        <f t="shared" si="0"/>
        <v>0.42630284954254161</v>
      </c>
      <c r="O22" s="122">
        <f>+'Water Rate Design'!I16</f>
        <v>576.86</v>
      </c>
      <c r="Q22" s="126">
        <f t="shared" si="1"/>
        <v>1.3250171294990123</v>
      </c>
    </row>
    <row r="23" spans="1:17">
      <c r="A23" s="19">
        <v>10</v>
      </c>
      <c r="B23" s="19"/>
      <c r="C23" s="22"/>
      <c r="D23" s="30"/>
      <c r="E23" s="25"/>
      <c r="F23" s="25"/>
      <c r="G23" s="25"/>
      <c r="H23" s="26"/>
      <c r="I23" s="27"/>
      <c r="J23" s="27"/>
      <c r="K23" s="27"/>
    </row>
    <row r="24" spans="1:17">
      <c r="A24" s="19">
        <v>11</v>
      </c>
      <c r="B24" s="19"/>
      <c r="C24" s="33" t="s">
        <v>33</v>
      </c>
      <c r="D24" s="30"/>
      <c r="E24" s="26"/>
      <c r="F24" s="25"/>
      <c r="G24" s="25"/>
      <c r="H24" s="25"/>
      <c r="J24" s="31"/>
    </row>
    <row r="25" spans="1:17">
      <c r="A25" s="19">
        <v>12</v>
      </c>
      <c r="B25" s="19"/>
      <c r="C25" s="33" t="s">
        <v>61</v>
      </c>
      <c r="D25" s="30"/>
      <c r="E25" s="34">
        <v>1.84</v>
      </c>
      <c r="F25" s="35"/>
      <c r="G25" s="34">
        <v>1.87</v>
      </c>
      <c r="H25" s="36"/>
      <c r="I25" s="122">
        <v>1.88</v>
      </c>
      <c r="J25" s="31"/>
      <c r="K25" s="122">
        <v>2.68</v>
      </c>
      <c r="M25" s="126">
        <f>+K25/I25-1</f>
        <v>0.42553191489361719</v>
      </c>
      <c r="Q25" s="126"/>
    </row>
    <row r="26" spans="1:17">
      <c r="A26" s="19">
        <v>13</v>
      </c>
      <c r="B26" s="19"/>
      <c r="C26" s="33" t="s">
        <v>62</v>
      </c>
      <c r="D26" s="30"/>
      <c r="E26" s="34">
        <v>1.93</v>
      </c>
      <c r="F26" s="35"/>
      <c r="G26" s="34">
        <v>1.96</v>
      </c>
      <c r="H26" s="36"/>
      <c r="I26" s="122">
        <v>1.98</v>
      </c>
      <c r="J26" s="31"/>
      <c r="K26" s="122">
        <v>2.82</v>
      </c>
      <c r="M26" s="126">
        <f>+K26/I26-1</f>
        <v>0.42424242424242409</v>
      </c>
      <c r="Q26" s="126"/>
    </row>
    <row r="27" spans="1:17">
      <c r="A27" s="19">
        <v>14</v>
      </c>
      <c r="B27" s="19"/>
      <c r="C27" s="33" t="s">
        <v>35</v>
      </c>
      <c r="D27" s="30"/>
      <c r="E27" s="34">
        <v>2.38</v>
      </c>
      <c r="F27" s="35"/>
      <c r="G27" s="34">
        <v>2.41</v>
      </c>
      <c r="H27" s="36"/>
      <c r="I27" s="122">
        <v>2.4300000000000002</v>
      </c>
      <c r="J27" s="31"/>
      <c r="K27" s="122">
        <v>3.47</v>
      </c>
      <c r="M27" s="126">
        <f>+K27/I27-1</f>
        <v>0.42798353909465026</v>
      </c>
      <c r="Q27" s="126"/>
    </row>
    <row r="28" spans="1:17">
      <c r="A28" s="19">
        <v>15</v>
      </c>
      <c r="B28" s="19"/>
      <c r="C28" s="33" t="s">
        <v>36</v>
      </c>
      <c r="D28" s="30"/>
      <c r="E28" s="34">
        <v>2.85</v>
      </c>
      <c r="F28" s="35"/>
      <c r="G28" s="34">
        <v>2.89</v>
      </c>
      <c r="H28" s="36"/>
      <c r="I28" s="122">
        <v>2.91</v>
      </c>
      <c r="J28" s="31"/>
      <c r="K28" s="122">
        <v>4.1500000000000004</v>
      </c>
      <c r="M28" s="126">
        <f>+K28/I28-1</f>
        <v>0.42611683848797255</v>
      </c>
      <c r="Q28" s="126"/>
    </row>
    <row r="29" spans="1:17">
      <c r="A29" s="19"/>
      <c r="B29" s="19"/>
      <c r="C29" s="33" t="str">
        <f>+'Water Rate Design'!B40</f>
        <v>0-8k</v>
      </c>
      <c r="D29" s="30"/>
      <c r="E29" s="34"/>
      <c r="F29" s="35"/>
      <c r="G29" s="34"/>
      <c r="H29" s="36"/>
      <c r="I29" s="122"/>
      <c r="J29" s="31"/>
      <c r="K29" s="122"/>
      <c r="M29" s="126"/>
      <c r="O29" s="122">
        <f>+'Water Rate Design'!I40</f>
        <v>1.97</v>
      </c>
      <c r="Q29" s="126">
        <f>O29/I26-1</f>
        <v>-5.050505050505083E-3</v>
      </c>
    </row>
    <row r="30" spans="1:17">
      <c r="A30" s="19"/>
      <c r="B30" s="19"/>
      <c r="C30" s="33" t="str">
        <f>+'Water Rate Design'!B41</f>
        <v>8-16k</v>
      </c>
      <c r="D30" s="30"/>
      <c r="E30" s="34"/>
      <c r="F30" s="35"/>
      <c r="G30" s="34"/>
      <c r="H30" s="36"/>
      <c r="I30" s="122"/>
      <c r="J30" s="31"/>
      <c r="K30" s="122"/>
      <c r="M30" s="126"/>
      <c r="O30" s="122">
        <f>+'Water Rate Design'!I41</f>
        <v>2.95</v>
      </c>
      <c r="Q30" s="126">
        <f t="shared" ref="Q30:Q31" si="2">O30/I27-1</f>
        <v>0.21399176954732502</v>
      </c>
    </row>
    <row r="31" spans="1:17">
      <c r="A31" s="19"/>
      <c r="B31" s="19"/>
      <c r="C31" s="33" t="str">
        <f>+'Water Rate Design'!B42</f>
        <v>+16k</v>
      </c>
      <c r="D31" s="30"/>
      <c r="E31" s="34"/>
      <c r="F31" s="35"/>
      <c r="G31" s="34"/>
      <c r="H31" s="36"/>
      <c r="I31" s="122"/>
      <c r="J31" s="31"/>
      <c r="K31" s="122"/>
      <c r="M31" s="126"/>
      <c r="O31" s="122">
        <f>+'Water Rate Design'!I42</f>
        <v>3.93</v>
      </c>
      <c r="Q31" s="126">
        <f t="shared" si="2"/>
        <v>0.35051546391752586</v>
      </c>
    </row>
    <row r="32" spans="1:17">
      <c r="A32" s="19">
        <v>16</v>
      </c>
      <c r="B32" s="19"/>
      <c r="C32" s="38"/>
      <c r="D32" s="30"/>
      <c r="E32" s="35"/>
      <c r="F32" s="35"/>
      <c r="G32" s="39"/>
      <c r="H32" s="40"/>
      <c r="I32" s="122"/>
      <c r="J32" s="27"/>
      <c r="K32" s="122"/>
    </row>
    <row r="33" spans="1:17">
      <c r="A33" s="19">
        <v>17</v>
      </c>
      <c r="B33" s="19"/>
      <c r="C33" s="41" t="s">
        <v>37</v>
      </c>
      <c r="D33" s="42"/>
      <c r="E33" s="43"/>
      <c r="F33" s="43"/>
      <c r="G33" s="43"/>
      <c r="H33" s="44"/>
      <c r="I33" s="122"/>
      <c r="J33" s="27"/>
      <c r="K33" s="122"/>
    </row>
    <row r="34" spans="1:17">
      <c r="A34" s="19">
        <v>18</v>
      </c>
      <c r="B34" s="19">
        <v>68006</v>
      </c>
      <c r="C34" s="22" t="s">
        <v>38</v>
      </c>
      <c r="D34" s="23"/>
      <c r="E34" s="24">
        <v>4.9800000000000004</v>
      </c>
      <c r="F34" s="25"/>
      <c r="G34" s="24">
        <v>5.05</v>
      </c>
      <c r="H34" s="26"/>
      <c r="I34" s="122">
        <v>5.09</v>
      </c>
      <c r="J34" s="27"/>
      <c r="K34" s="122">
        <f>+K15</f>
        <v>7.26</v>
      </c>
      <c r="M34" s="126">
        <f t="shared" ref="M34:M41" si="3">+K34/I34-1</f>
        <v>0.42632612966601169</v>
      </c>
      <c r="O34" s="122">
        <f>+O15</f>
        <v>11.54</v>
      </c>
      <c r="Q34" s="126">
        <f t="shared" ref="Q34:Q41" si="4">+O34/I34-1</f>
        <v>1.2671905697445971</v>
      </c>
    </row>
    <row r="35" spans="1:17">
      <c r="A35" s="19">
        <v>19</v>
      </c>
      <c r="B35" s="19">
        <v>68006</v>
      </c>
      <c r="C35" s="45" t="s">
        <v>26</v>
      </c>
      <c r="D35" s="30"/>
      <c r="E35" s="24">
        <v>7.25</v>
      </c>
      <c r="F35" s="25"/>
      <c r="G35" s="24">
        <v>7.35</v>
      </c>
      <c r="H35" s="26"/>
      <c r="I35" s="122">
        <v>7.41</v>
      </c>
      <c r="J35" s="27"/>
      <c r="K35" s="122">
        <f t="shared" ref="K35:K41" si="5">+K16</f>
        <v>10.57</v>
      </c>
      <c r="M35" s="126">
        <f t="shared" si="3"/>
        <v>0.42645074224021595</v>
      </c>
      <c r="O35" s="122">
        <f t="shared" ref="O35:O41" si="6">+O16</f>
        <v>17.309999999999999</v>
      </c>
      <c r="Q35" s="126">
        <f t="shared" si="4"/>
        <v>1.3360323886639676</v>
      </c>
    </row>
    <row r="36" spans="1:17">
      <c r="A36" s="19">
        <v>20</v>
      </c>
      <c r="B36" s="19">
        <v>68007</v>
      </c>
      <c r="C36" s="29" t="s">
        <v>27</v>
      </c>
      <c r="D36" s="30"/>
      <c r="E36" s="24">
        <v>11.93</v>
      </c>
      <c r="F36" s="25"/>
      <c r="G36" s="24">
        <v>12.1</v>
      </c>
      <c r="H36" s="26"/>
      <c r="I36" s="122">
        <v>12.19</v>
      </c>
      <c r="J36" s="27"/>
      <c r="K36" s="122">
        <f t="shared" si="5"/>
        <v>17.38</v>
      </c>
      <c r="M36" s="126">
        <f t="shared" si="3"/>
        <v>0.42575881870385568</v>
      </c>
      <c r="O36" s="122">
        <f t="shared" si="6"/>
        <v>28.84</v>
      </c>
      <c r="Q36" s="126">
        <f t="shared" si="4"/>
        <v>1.3658736669401148</v>
      </c>
    </row>
    <row r="37" spans="1:17">
      <c r="A37" s="19">
        <v>21</v>
      </c>
      <c r="B37" s="19">
        <v>68008</v>
      </c>
      <c r="C37" s="29" t="s">
        <v>28</v>
      </c>
      <c r="D37" s="30"/>
      <c r="E37" s="24">
        <v>24.29</v>
      </c>
      <c r="F37" s="25"/>
      <c r="G37" s="24">
        <v>24.63</v>
      </c>
      <c r="H37" s="26"/>
      <c r="I37" s="122">
        <v>24.82</v>
      </c>
      <c r="J37" s="27"/>
      <c r="K37" s="122">
        <f t="shared" si="5"/>
        <v>35.4</v>
      </c>
      <c r="M37" s="126">
        <f t="shared" si="3"/>
        <v>0.42626913779210307</v>
      </c>
      <c r="O37" s="122">
        <f t="shared" si="6"/>
        <v>57.69</v>
      </c>
      <c r="Q37" s="126">
        <f t="shared" si="4"/>
        <v>1.3243352135374695</v>
      </c>
    </row>
    <row r="38" spans="1:17">
      <c r="A38" s="19">
        <v>22</v>
      </c>
      <c r="B38" s="19">
        <v>68009</v>
      </c>
      <c r="C38" s="29" t="s">
        <v>29</v>
      </c>
      <c r="D38" s="30"/>
      <c r="E38" s="24">
        <v>38.14</v>
      </c>
      <c r="F38" s="25"/>
      <c r="G38" s="24">
        <v>38.68</v>
      </c>
      <c r="H38" s="26"/>
      <c r="I38" s="122">
        <v>38.979999999999997</v>
      </c>
      <c r="J38" s="27"/>
      <c r="K38" s="122">
        <f t="shared" si="5"/>
        <v>55.6</v>
      </c>
      <c r="M38" s="126">
        <f t="shared" si="3"/>
        <v>0.42637249871729099</v>
      </c>
      <c r="O38" s="122">
        <f t="shared" si="6"/>
        <v>92.3</v>
      </c>
      <c r="Q38" s="126">
        <f t="shared" si="4"/>
        <v>1.3678809645972296</v>
      </c>
    </row>
    <row r="39" spans="1:17">
      <c r="A39" s="19">
        <v>23</v>
      </c>
      <c r="B39" s="19">
        <v>68005</v>
      </c>
      <c r="C39" s="29" t="s">
        <v>30</v>
      </c>
      <c r="D39" s="30"/>
      <c r="E39" s="24">
        <v>77.81</v>
      </c>
      <c r="F39" s="25"/>
      <c r="G39" s="24">
        <v>78.91</v>
      </c>
      <c r="H39" s="26"/>
      <c r="I39" s="122">
        <v>79.53</v>
      </c>
      <c r="J39" s="27"/>
      <c r="K39" s="122">
        <f t="shared" si="5"/>
        <v>113.43</v>
      </c>
      <c r="M39" s="126">
        <f t="shared" si="3"/>
        <v>0.42625424368162967</v>
      </c>
      <c r="O39" s="122">
        <f t="shared" si="6"/>
        <v>184.59</v>
      </c>
      <c r="Q39" s="126">
        <f t="shared" si="4"/>
        <v>1.3210109392682008</v>
      </c>
    </row>
    <row r="40" spans="1:17">
      <c r="A40" s="19">
        <v>24</v>
      </c>
      <c r="B40" s="19">
        <v>68016</v>
      </c>
      <c r="C40" s="29" t="s">
        <v>31</v>
      </c>
      <c r="D40" s="30"/>
      <c r="E40" s="24">
        <v>119.21</v>
      </c>
      <c r="F40" s="25"/>
      <c r="G40" s="24">
        <v>120.19</v>
      </c>
      <c r="H40" s="26"/>
      <c r="I40" s="122">
        <v>121.84</v>
      </c>
      <c r="J40" s="31"/>
      <c r="K40" s="122">
        <f t="shared" si="5"/>
        <v>173.78</v>
      </c>
      <c r="M40" s="126">
        <f t="shared" si="3"/>
        <v>0.42629678266579107</v>
      </c>
      <c r="O40" s="122">
        <f t="shared" si="6"/>
        <v>288.43</v>
      </c>
      <c r="Q40" s="126">
        <f t="shared" si="4"/>
        <v>1.367284963887065</v>
      </c>
    </row>
    <row r="41" spans="1:17">
      <c r="A41" s="19">
        <v>25</v>
      </c>
      <c r="B41" s="19">
        <v>68017</v>
      </c>
      <c r="C41" s="29" t="s">
        <v>32</v>
      </c>
      <c r="D41" s="30"/>
      <c r="E41" s="24">
        <v>242.74</v>
      </c>
      <c r="F41" s="25"/>
      <c r="G41" s="24">
        <v>246.19</v>
      </c>
      <c r="H41" s="26"/>
      <c r="I41" s="122">
        <v>248.11</v>
      </c>
      <c r="J41" s="36"/>
      <c r="K41" s="122">
        <f t="shared" si="5"/>
        <v>353.88</v>
      </c>
      <c r="M41" s="126">
        <f t="shared" si="3"/>
        <v>0.42630284954254161</v>
      </c>
      <c r="O41" s="122">
        <f t="shared" si="6"/>
        <v>576.86</v>
      </c>
      <c r="Q41" s="126">
        <f t="shared" si="4"/>
        <v>1.3250171294990123</v>
      </c>
    </row>
    <row r="42" spans="1:17">
      <c r="A42" s="19">
        <v>26</v>
      </c>
      <c r="B42" s="19">
        <v>68018</v>
      </c>
      <c r="C42" s="22"/>
      <c r="D42" s="30"/>
      <c r="E42" s="25"/>
      <c r="F42" s="25"/>
      <c r="G42" s="26"/>
      <c r="H42" s="26"/>
      <c r="I42" s="122"/>
      <c r="J42" s="36"/>
      <c r="K42" s="122"/>
    </row>
    <row r="43" spans="1:17">
      <c r="A43" s="19">
        <v>27</v>
      </c>
      <c r="B43" s="19"/>
      <c r="C43" s="33" t="s">
        <v>33</v>
      </c>
      <c r="E43" s="34">
        <v>2.2000000000000002</v>
      </c>
      <c r="F43" s="46"/>
      <c r="G43" s="34">
        <v>2.23</v>
      </c>
      <c r="H43" s="47"/>
      <c r="I43" s="122">
        <v>2.25</v>
      </c>
      <c r="J43" s="27"/>
      <c r="K43" s="122">
        <v>3.21</v>
      </c>
      <c r="M43" s="126">
        <f>+K43/I43-1</f>
        <v>0.42666666666666675</v>
      </c>
      <c r="O43" s="122">
        <f>+'Water Rate Design'!I45</f>
        <v>2.98</v>
      </c>
      <c r="Q43" s="126">
        <f>+O43/I43-1</f>
        <v>0.32444444444444454</v>
      </c>
    </row>
    <row r="44" spans="1:17">
      <c r="A44" s="19"/>
      <c r="B44" s="19"/>
      <c r="C44" s="3"/>
      <c r="I44" s="122"/>
      <c r="J44" s="27"/>
      <c r="K44" s="122"/>
    </row>
    <row r="45" spans="1:17">
      <c r="A45" s="19"/>
      <c r="C45" s="3"/>
      <c r="E45" s="36"/>
      <c r="F45" s="36"/>
      <c r="G45" s="36"/>
      <c r="H45" s="36"/>
      <c r="I45" s="36"/>
      <c r="J45" s="27"/>
      <c r="K45" s="27"/>
    </row>
    <row r="46" spans="1:17">
      <c r="A46" s="12"/>
      <c r="B46" s="12"/>
      <c r="C46" s="29"/>
      <c r="D46" s="48"/>
      <c r="J46" s="21"/>
      <c r="K46" s="21"/>
    </row>
    <row r="47" spans="1:17">
      <c r="A47" s="12"/>
      <c r="B47" s="12"/>
      <c r="C47" s="29"/>
      <c r="J47" s="21"/>
      <c r="K47" s="21"/>
    </row>
    <row r="48" spans="1:17">
      <c r="A48" s="12"/>
      <c r="B48" s="12"/>
      <c r="C48" s="29"/>
      <c r="I48" s="49"/>
      <c r="J48" s="21"/>
      <c r="K48" s="21"/>
    </row>
    <row r="49" spans="1:11">
      <c r="A49" s="12"/>
      <c r="B49" s="12"/>
      <c r="C49" s="29"/>
      <c r="E49" s="50"/>
      <c r="F49" s="50"/>
      <c r="G49" s="50"/>
      <c r="H49" s="50"/>
      <c r="I49" s="51"/>
      <c r="J49" s="51"/>
      <c r="K49" s="51"/>
    </row>
    <row r="50" spans="1:11">
      <c r="A50" s="12"/>
      <c r="B50" s="12"/>
      <c r="C50" s="29"/>
      <c r="I50" s="21"/>
      <c r="J50" s="21"/>
      <c r="K50" s="21"/>
    </row>
    <row r="51" spans="1:11">
      <c r="A51" s="12"/>
      <c r="B51" s="12"/>
      <c r="C51" s="52"/>
      <c r="I51" s="21"/>
      <c r="J51" s="21"/>
      <c r="K51" s="21"/>
    </row>
    <row r="52" spans="1:11">
      <c r="A52" s="12"/>
      <c r="B52" s="12"/>
      <c r="C52" s="52"/>
      <c r="I52" s="21"/>
      <c r="J52" s="21"/>
      <c r="K52" s="21"/>
    </row>
    <row r="53" spans="1:11">
      <c r="A53" s="12"/>
      <c r="B53" s="12"/>
      <c r="C53" s="53"/>
      <c r="I53" s="21"/>
      <c r="J53" s="21"/>
      <c r="K53" s="21"/>
    </row>
    <row r="54" spans="1:11">
      <c r="A54" s="12"/>
      <c r="B54" s="12"/>
      <c r="C54" s="29"/>
      <c r="I54" s="21"/>
      <c r="J54" s="21"/>
      <c r="K54" s="21"/>
    </row>
    <row r="55" spans="1:11">
      <c r="A55" s="12"/>
      <c r="B55" s="12"/>
      <c r="C55" s="29"/>
      <c r="I55" s="21"/>
      <c r="J55" s="21"/>
      <c r="K55" s="21"/>
    </row>
    <row r="56" spans="1:11">
      <c r="A56" s="12"/>
      <c r="B56" s="12"/>
      <c r="C56" s="29"/>
      <c r="I56" s="21"/>
      <c r="J56" s="21"/>
      <c r="K56" s="21"/>
    </row>
    <row r="57" spans="1:11">
      <c r="A57" s="12"/>
      <c r="B57" s="12"/>
      <c r="C57" s="29"/>
      <c r="I57" s="21"/>
      <c r="J57" s="21"/>
      <c r="K57" s="21"/>
    </row>
    <row r="58" spans="1:11">
      <c r="A58" s="12"/>
      <c r="B58" s="12"/>
      <c r="C58" s="29"/>
      <c r="I58" s="21"/>
      <c r="J58" s="21"/>
      <c r="K58" s="21"/>
    </row>
    <row r="59" spans="1:11">
      <c r="A59" s="12"/>
      <c r="B59" s="12"/>
      <c r="C59" s="29"/>
      <c r="I59" s="21"/>
      <c r="J59" s="21"/>
      <c r="K59" s="21"/>
    </row>
    <row r="60" spans="1:11">
      <c r="A60" s="12"/>
      <c r="B60" s="12"/>
      <c r="C60" s="29"/>
      <c r="I60" s="21"/>
      <c r="J60" s="21"/>
      <c r="K60" s="21"/>
    </row>
    <row r="61" spans="1:11">
      <c r="A61" s="12"/>
      <c r="B61" s="12"/>
      <c r="C61" s="41"/>
      <c r="I61" s="21"/>
      <c r="J61" s="21"/>
      <c r="K61" s="21"/>
    </row>
    <row r="62" spans="1:11">
      <c r="A62" s="12"/>
      <c r="B62" s="12"/>
      <c r="C62" s="29"/>
      <c r="I62" s="21"/>
      <c r="J62" s="21"/>
      <c r="K62" s="21"/>
    </row>
    <row r="63" spans="1:11">
      <c r="A63" s="12"/>
      <c r="B63" s="12"/>
      <c r="C63" s="29"/>
      <c r="I63" s="21"/>
      <c r="J63" s="21"/>
      <c r="K63" s="21"/>
    </row>
    <row r="64" spans="1:11">
      <c r="A64" s="12"/>
      <c r="B64" s="12"/>
      <c r="C64" s="29"/>
      <c r="I64" s="21"/>
      <c r="J64" s="21"/>
      <c r="K64" s="21"/>
    </row>
    <row r="65" spans="1:11">
      <c r="A65" s="12"/>
      <c r="B65" s="12"/>
      <c r="C65" s="29"/>
      <c r="I65" s="21"/>
      <c r="J65" s="21"/>
      <c r="K65" s="21"/>
    </row>
    <row r="66" spans="1:11">
      <c r="A66" s="12"/>
      <c r="B66" s="12"/>
      <c r="C66" s="29"/>
      <c r="I66" s="21"/>
      <c r="J66" s="21"/>
      <c r="K66" s="21"/>
    </row>
    <row r="67" spans="1:11">
      <c r="A67" s="12"/>
      <c r="B67" s="12"/>
      <c r="C67" s="29"/>
      <c r="I67" s="21"/>
      <c r="J67" s="21"/>
      <c r="K67" s="21"/>
    </row>
    <row r="68" spans="1:11">
      <c r="A68" s="12"/>
      <c r="B68" s="12"/>
      <c r="C68" s="29"/>
    </row>
    <row r="105" spans="9:9">
      <c r="I105" s="54"/>
    </row>
    <row r="108" spans="9:9">
      <c r="I108" s="54"/>
    </row>
    <row r="231" spans="1:8">
      <c r="E231" s="55"/>
      <c r="F231" s="55"/>
      <c r="G231" s="55"/>
      <c r="H231" s="55"/>
    </row>
    <row r="232" spans="1:8">
      <c r="E232" s="55"/>
      <c r="F232" s="55"/>
      <c r="G232" s="55"/>
      <c r="H232" s="55"/>
    </row>
    <row r="233" spans="1:8">
      <c r="E233" s="55"/>
      <c r="F233" s="55"/>
      <c r="G233" s="55"/>
      <c r="H233" s="55"/>
    </row>
    <row r="234" spans="1:8">
      <c r="A234" s="55"/>
      <c r="B234" s="55"/>
      <c r="C234" s="56"/>
      <c r="D234" s="55"/>
      <c r="E234" s="55"/>
      <c r="F234" s="55"/>
      <c r="G234" s="55"/>
      <c r="H234" s="55"/>
    </row>
    <row r="235" spans="1:8">
      <c r="A235" s="55"/>
      <c r="B235" s="55"/>
      <c r="C235" s="56"/>
      <c r="D235" s="55"/>
      <c r="E235" s="55"/>
      <c r="F235" s="55"/>
      <c r="G235" s="55"/>
      <c r="H235" s="55"/>
    </row>
    <row r="236" spans="1:8">
      <c r="A236" s="55"/>
      <c r="B236" s="55"/>
      <c r="C236" s="56"/>
      <c r="D236" s="55"/>
    </row>
    <row r="237" spans="1:8">
      <c r="A237" s="55"/>
      <c r="B237" s="55"/>
      <c r="C237" s="56"/>
      <c r="D237" s="55"/>
    </row>
    <row r="238" spans="1:8">
      <c r="A238" s="55"/>
      <c r="B238" s="55"/>
      <c r="C238" s="56"/>
      <c r="D238" s="55"/>
    </row>
    <row r="265" spans="1:8">
      <c r="E265" s="55"/>
      <c r="F265" s="55"/>
      <c r="G265" s="55"/>
      <c r="H265" s="55"/>
    </row>
    <row r="268" spans="1:8">
      <c r="A268" s="55"/>
      <c r="B268" s="55"/>
      <c r="C268" s="56"/>
      <c r="D268" s="55"/>
    </row>
    <row r="337" spans="1:2">
      <c r="A337" s="1"/>
      <c r="B337" s="1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  <row r="408" spans="1:2">
      <c r="A408" s="55"/>
      <c r="B408" s="5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9"/>
  <sheetViews>
    <sheetView topLeftCell="A10" zoomScaleNormal="100" workbookViewId="0">
      <selection activeCell="S40" sqref="S40"/>
    </sheetView>
  </sheetViews>
  <sheetFormatPr defaultColWidth="10.85546875" defaultRowHeight="12"/>
  <cols>
    <col min="1" max="1" width="6.85546875" style="3" customWidth="1"/>
    <col min="2" max="2" width="8.42578125" style="3" hidden="1" customWidth="1"/>
    <col min="3" max="3" width="37" style="28" bestFit="1" customWidth="1"/>
    <col min="4" max="4" width="2" style="3" customWidth="1"/>
    <col min="5" max="5" width="10.7109375" style="3" hidden="1" customWidth="1"/>
    <col min="6" max="6" width="1.7109375" style="3" hidden="1" customWidth="1"/>
    <col min="7" max="7" width="10.7109375" style="3" hidden="1" customWidth="1"/>
    <col min="8" max="8" width="1.7109375" style="3" hidden="1" customWidth="1"/>
    <col min="9" max="9" width="10.7109375" style="3" hidden="1" customWidth="1"/>
    <col min="10" max="10" width="1.7109375" style="3" hidden="1" customWidth="1"/>
    <col min="11" max="11" width="10.7109375" style="3" customWidth="1"/>
    <col min="12" max="12" width="2.7109375" style="3" customWidth="1"/>
    <col min="13" max="13" width="11.85546875" style="3" customWidth="1"/>
    <col min="14" max="14" width="1.7109375" style="3" customWidth="1"/>
    <col min="15" max="15" width="10.85546875" style="3"/>
    <col min="16" max="16" width="1.7109375" style="3" customWidth="1"/>
    <col min="17" max="17" width="10.85546875" style="3"/>
    <col min="18" max="18" width="1.7109375" style="3" customWidth="1"/>
    <col min="19" max="16384" width="10.85546875" style="3"/>
  </cols>
  <sheetData>
    <row r="1" spans="1:19">
      <c r="A1" s="1" t="s">
        <v>0</v>
      </c>
      <c r="B1" s="1"/>
      <c r="C1" s="2"/>
      <c r="E1" s="1"/>
      <c r="F1" s="1"/>
      <c r="G1" s="1"/>
      <c r="H1" s="1"/>
      <c r="I1" s="1"/>
      <c r="J1" s="1"/>
      <c r="K1" s="4" t="s">
        <v>1</v>
      </c>
      <c r="M1" s="4"/>
    </row>
    <row r="2" spans="1:19">
      <c r="A2" s="1"/>
      <c r="B2" s="1"/>
      <c r="C2" s="2"/>
      <c r="E2" s="1"/>
      <c r="F2" s="1"/>
      <c r="G2" s="1"/>
      <c r="H2" s="1"/>
      <c r="I2" s="1"/>
      <c r="J2" s="1"/>
      <c r="K2" s="4"/>
      <c r="M2" s="4"/>
    </row>
    <row r="3" spans="1:19">
      <c r="A3" s="1" t="s">
        <v>63</v>
      </c>
      <c r="B3" s="1"/>
      <c r="C3" s="2"/>
      <c r="E3" s="1"/>
      <c r="F3" s="1"/>
      <c r="G3" s="1"/>
      <c r="H3" s="1"/>
      <c r="I3" s="1"/>
      <c r="J3" s="1"/>
      <c r="K3" s="4"/>
      <c r="M3" s="4"/>
    </row>
    <row r="4" spans="1:19">
      <c r="A4" s="1" t="s">
        <v>4</v>
      </c>
      <c r="B4" s="1"/>
      <c r="C4" s="2"/>
      <c r="E4" s="1"/>
      <c r="F4" s="1"/>
      <c r="G4" s="1"/>
      <c r="H4" s="1"/>
      <c r="I4" s="1"/>
      <c r="J4" s="1"/>
      <c r="K4" s="5"/>
      <c r="M4" s="4"/>
    </row>
    <row r="5" spans="1:19">
      <c r="A5" s="1" t="s">
        <v>6</v>
      </c>
      <c r="B5" s="1"/>
      <c r="C5" s="2"/>
      <c r="E5" s="1"/>
      <c r="F5" s="1"/>
      <c r="G5" s="1"/>
      <c r="H5" s="1"/>
      <c r="I5" s="1"/>
      <c r="J5" s="1"/>
      <c r="K5" s="4"/>
      <c r="M5" s="4"/>
    </row>
    <row r="6" spans="1:19">
      <c r="A6" s="1" t="s">
        <v>8</v>
      </c>
      <c r="B6" s="1"/>
      <c r="C6" s="2"/>
      <c r="D6" s="1"/>
      <c r="E6" s="1"/>
      <c r="F6" s="1"/>
      <c r="G6" s="1"/>
      <c r="H6" s="1"/>
      <c r="I6" s="1"/>
      <c r="J6" s="1"/>
      <c r="K6" s="4"/>
      <c r="L6" s="4"/>
      <c r="M6" s="4"/>
    </row>
    <row r="7" spans="1:19">
      <c r="A7" s="1" t="s">
        <v>9</v>
      </c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9">
      <c r="A8" s="6" t="s">
        <v>10</v>
      </c>
      <c r="B8" s="6"/>
      <c r="C8" s="2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9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>
      <c r="A10" s="9"/>
      <c r="B10" s="10" t="s">
        <v>11</v>
      </c>
      <c r="C10" s="11"/>
      <c r="D10" s="12"/>
      <c r="E10" s="11"/>
      <c r="G10" s="11"/>
      <c r="I10" s="11"/>
      <c r="J10" s="13"/>
      <c r="K10" s="11"/>
      <c r="M10" s="11"/>
      <c r="N10" s="11"/>
      <c r="O10" s="11"/>
      <c r="P10" s="11"/>
      <c r="Q10" s="11"/>
      <c r="S10" s="11"/>
    </row>
    <row r="11" spans="1:19">
      <c r="C11" s="2"/>
      <c r="D11" s="1"/>
      <c r="E11" s="12" t="s">
        <v>12</v>
      </c>
      <c r="F11" s="1"/>
      <c r="G11" s="12" t="s">
        <v>12</v>
      </c>
      <c r="H11" s="1"/>
      <c r="I11" s="12" t="s">
        <v>12</v>
      </c>
      <c r="J11" s="1"/>
      <c r="L11" s="12"/>
      <c r="M11" s="12"/>
      <c r="N11" s="12"/>
      <c r="O11" s="12" t="s">
        <v>184</v>
      </c>
      <c r="Q11" s="12" t="s">
        <v>183</v>
      </c>
      <c r="S11" s="12" t="s">
        <v>184</v>
      </c>
    </row>
    <row r="12" spans="1:19">
      <c r="A12" s="12" t="s">
        <v>14</v>
      </c>
      <c r="B12" s="12" t="s">
        <v>15</v>
      </c>
      <c r="C12" s="2"/>
      <c r="D12" s="1"/>
      <c r="E12" s="12" t="s">
        <v>16</v>
      </c>
      <c r="F12" s="1"/>
      <c r="G12" s="12" t="s">
        <v>16</v>
      </c>
      <c r="H12" s="1"/>
      <c r="I12" s="12" t="s">
        <v>16</v>
      </c>
      <c r="J12" s="1"/>
      <c r="K12" s="12" t="s">
        <v>13</v>
      </c>
      <c r="L12" s="12"/>
      <c r="M12" s="12" t="s">
        <v>18</v>
      </c>
      <c r="N12" s="12"/>
      <c r="O12" s="12" t="s">
        <v>185</v>
      </c>
      <c r="Q12" s="12" t="s">
        <v>182</v>
      </c>
      <c r="S12" s="12" t="s">
        <v>185</v>
      </c>
    </row>
    <row r="13" spans="1:19" ht="14.25">
      <c r="A13" s="14" t="s">
        <v>19</v>
      </c>
      <c r="B13" s="14" t="s">
        <v>20</v>
      </c>
      <c r="C13" s="15" t="s">
        <v>21</v>
      </c>
      <c r="D13" s="16"/>
      <c r="E13" s="17" t="s">
        <v>64</v>
      </c>
      <c r="F13" s="64"/>
      <c r="G13" s="17" t="s">
        <v>65</v>
      </c>
      <c r="H13" s="64"/>
      <c r="I13" s="17" t="s">
        <v>66</v>
      </c>
      <c r="J13" s="17"/>
      <c r="K13" s="130" t="s">
        <v>17</v>
      </c>
      <c r="L13" s="18"/>
      <c r="M13" s="14" t="s">
        <v>17</v>
      </c>
      <c r="N13" s="124"/>
      <c r="O13" s="125" t="s">
        <v>186</v>
      </c>
      <c r="Q13" s="14" t="s">
        <v>17</v>
      </c>
      <c r="S13" s="14" t="s">
        <v>186</v>
      </c>
    </row>
    <row r="14" spans="1:19">
      <c r="A14" s="19">
        <v>1</v>
      </c>
      <c r="B14" s="19"/>
      <c r="C14" s="20" t="s">
        <v>24</v>
      </c>
      <c r="K14" s="21"/>
      <c r="L14" s="21"/>
      <c r="M14" s="21"/>
    </row>
    <row r="15" spans="1:19">
      <c r="A15" s="19">
        <v>2</v>
      </c>
      <c r="B15" s="19">
        <v>68001</v>
      </c>
      <c r="C15" s="22" t="s">
        <v>38</v>
      </c>
      <c r="D15" s="23"/>
      <c r="E15" s="24">
        <v>4.5599999999999996</v>
      </c>
      <c r="F15" s="25"/>
      <c r="G15" s="34">
        <v>4.45</v>
      </c>
      <c r="H15" s="25"/>
      <c r="I15" s="34">
        <v>4.47</v>
      </c>
      <c r="J15" s="26"/>
      <c r="K15" s="122">
        <v>4.49</v>
      </c>
      <c r="L15" s="27"/>
      <c r="M15" s="122">
        <v>4.47</v>
      </c>
      <c r="O15" s="126">
        <f>+M15/K15-1</f>
        <v>-4.4543429844099425E-3</v>
      </c>
      <c r="Q15" s="122">
        <f>+'Water Rate Design'!I9</f>
        <v>11.54</v>
      </c>
      <c r="S15" s="126">
        <f>+Q15/K15-1</f>
        <v>1.570155902004454</v>
      </c>
    </row>
    <row r="16" spans="1:19">
      <c r="A16" s="19">
        <v>3</v>
      </c>
      <c r="B16" s="19">
        <v>68002</v>
      </c>
      <c r="C16" s="29" t="s">
        <v>188</v>
      </c>
      <c r="D16" s="23"/>
      <c r="E16" s="24">
        <v>6.86</v>
      </c>
      <c r="F16" s="25"/>
      <c r="G16" s="34">
        <v>6.68</v>
      </c>
      <c r="H16" s="25"/>
      <c r="I16" s="34">
        <v>6.72</v>
      </c>
      <c r="J16" s="26"/>
      <c r="K16" s="122">
        <v>6.75</v>
      </c>
      <c r="L16" s="27"/>
      <c r="M16" s="122">
        <f>ROUND(+M$15/K$15*K16,2)</f>
        <v>6.72</v>
      </c>
      <c r="O16" s="126">
        <f t="shared" ref="O16:O23" si="0">+M16/K16-1</f>
        <v>-4.4444444444444731E-3</v>
      </c>
      <c r="Q16" s="122">
        <f>+'Water Rate Design'!I10</f>
        <v>17.309999999999999</v>
      </c>
      <c r="S16" s="126">
        <f t="shared" ref="S16:S23" si="1">+Q16/K16-1</f>
        <v>1.5644444444444443</v>
      </c>
    </row>
    <row r="17" spans="1:19">
      <c r="A17" s="19">
        <v>4</v>
      </c>
      <c r="B17" s="19">
        <v>68003</v>
      </c>
      <c r="C17" s="29" t="s">
        <v>27</v>
      </c>
      <c r="D17" s="30"/>
      <c r="E17" s="24">
        <v>11.42</v>
      </c>
      <c r="F17" s="25"/>
      <c r="G17" s="34">
        <v>11.13</v>
      </c>
      <c r="H17" s="25"/>
      <c r="I17" s="34">
        <v>11.19</v>
      </c>
      <c r="J17" s="26"/>
      <c r="K17" s="122">
        <v>11.24</v>
      </c>
      <c r="L17" s="27"/>
      <c r="M17" s="122">
        <v>11.18</v>
      </c>
      <c r="O17" s="126">
        <f t="shared" si="0"/>
        <v>-5.3380782918149849E-3</v>
      </c>
      <c r="Q17" s="122">
        <f>+'Water Rate Design'!I11</f>
        <v>28.84</v>
      </c>
      <c r="S17" s="126">
        <f t="shared" si="1"/>
        <v>1.5658362989323842</v>
      </c>
    </row>
    <row r="18" spans="1:19">
      <c r="A18" s="19">
        <v>5</v>
      </c>
      <c r="B18" s="19">
        <v>68004</v>
      </c>
      <c r="C18" s="29" t="s">
        <v>28</v>
      </c>
      <c r="D18" s="30"/>
      <c r="E18" s="24">
        <v>22.84</v>
      </c>
      <c r="F18" s="25"/>
      <c r="G18" s="34">
        <v>22.25</v>
      </c>
      <c r="H18" s="25"/>
      <c r="I18" s="34">
        <v>22.37</v>
      </c>
      <c r="J18" s="26"/>
      <c r="K18" s="122">
        <v>22.47</v>
      </c>
      <c r="L18" s="27"/>
      <c r="M18" s="122">
        <v>22.35</v>
      </c>
      <c r="O18" s="126">
        <f t="shared" si="0"/>
        <v>-5.3404539385846217E-3</v>
      </c>
      <c r="Q18" s="122">
        <f>+'Water Rate Design'!I12</f>
        <v>57.69</v>
      </c>
      <c r="S18" s="126">
        <f t="shared" si="1"/>
        <v>1.567423230974633</v>
      </c>
    </row>
    <row r="19" spans="1:19">
      <c r="A19" s="19">
        <v>6</v>
      </c>
      <c r="B19" s="19"/>
      <c r="C19" s="29" t="s">
        <v>29</v>
      </c>
      <c r="D19" s="30"/>
      <c r="E19" s="24">
        <v>37.57</v>
      </c>
      <c r="F19" s="25"/>
      <c r="G19" s="34">
        <v>35.6</v>
      </c>
      <c r="H19" s="25"/>
      <c r="I19" s="34">
        <v>35.79</v>
      </c>
      <c r="J19" s="26"/>
      <c r="K19" s="122">
        <v>35.950000000000003</v>
      </c>
      <c r="L19" s="27"/>
      <c r="M19" s="122">
        <f t="shared" ref="M19:M23" si="2">ROUND(+M$15/K$15*K19,2)</f>
        <v>35.79</v>
      </c>
      <c r="O19" s="126">
        <f t="shared" si="0"/>
        <v>-4.4506258692629252E-3</v>
      </c>
      <c r="Q19" s="122">
        <f>+'Water Rate Design'!I13</f>
        <v>92.3</v>
      </c>
      <c r="S19" s="126">
        <f t="shared" si="1"/>
        <v>1.5674547983310152</v>
      </c>
    </row>
    <row r="20" spans="1:19">
      <c r="A20" s="19">
        <v>7</v>
      </c>
      <c r="B20" s="19"/>
      <c r="C20" s="29" t="s">
        <v>30</v>
      </c>
      <c r="D20" s="30"/>
      <c r="E20" s="24">
        <v>73.08</v>
      </c>
      <c r="F20" s="25"/>
      <c r="G20" s="34">
        <v>71.2</v>
      </c>
      <c r="H20" s="25"/>
      <c r="I20" s="34">
        <v>71.58</v>
      </c>
      <c r="J20" s="26"/>
      <c r="K20" s="122">
        <v>71.900000000000006</v>
      </c>
      <c r="L20" s="27"/>
      <c r="M20" s="122">
        <f t="shared" si="2"/>
        <v>71.58</v>
      </c>
      <c r="O20" s="126">
        <f t="shared" si="0"/>
        <v>-4.4506258692629252E-3</v>
      </c>
      <c r="Q20" s="122">
        <f>+'Water Rate Design'!I14</f>
        <v>184.59</v>
      </c>
      <c r="S20" s="126">
        <f t="shared" si="1"/>
        <v>1.5673157162726006</v>
      </c>
    </row>
    <row r="21" spans="1:19">
      <c r="A21" s="19">
        <v>8</v>
      </c>
      <c r="B21" s="19"/>
      <c r="C21" s="29" t="s">
        <v>31</v>
      </c>
      <c r="D21" s="30"/>
      <c r="E21" s="24">
        <v>114.19</v>
      </c>
      <c r="F21" s="25"/>
      <c r="G21" s="34">
        <v>111.25</v>
      </c>
      <c r="H21" s="25"/>
      <c r="I21" s="34">
        <v>111.85</v>
      </c>
      <c r="J21" s="26"/>
      <c r="K21" s="122">
        <v>112.35</v>
      </c>
      <c r="L21" s="27"/>
      <c r="M21" s="122">
        <f t="shared" si="2"/>
        <v>111.85</v>
      </c>
      <c r="O21" s="126">
        <f t="shared" si="0"/>
        <v>-4.4503782821539994E-3</v>
      </c>
      <c r="Q21" s="122">
        <f>+'Water Rate Design'!I15</f>
        <v>288.43</v>
      </c>
      <c r="S21" s="126">
        <f t="shared" si="1"/>
        <v>1.567245215843347</v>
      </c>
    </row>
    <row r="22" spans="1:19">
      <c r="A22" s="19">
        <v>9</v>
      </c>
      <c r="B22" s="19"/>
      <c r="C22" s="29" t="s">
        <v>32</v>
      </c>
      <c r="D22" s="30"/>
      <c r="E22" s="24">
        <v>228.38</v>
      </c>
      <c r="F22" s="25"/>
      <c r="G22" s="34">
        <v>222.5</v>
      </c>
      <c r="H22" s="25"/>
      <c r="I22" s="34">
        <v>223.7</v>
      </c>
      <c r="J22" s="26"/>
      <c r="K22" s="122">
        <v>224.7</v>
      </c>
      <c r="L22" s="27"/>
      <c r="M22" s="122">
        <f t="shared" si="2"/>
        <v>223.7</v>
      </c>
      <c r="O22" s="126">
        <f t="shared" si="0"/>
        <v>-4.4503782821539994E-3</v>
      </c>
      <c r="Q22" s="122">
        <f>+'Water Rate Design'!I16</f>
        <v>576.86</v>
      </c>
      <c r="S22" s="126">
        <f t="shared" si="1"/>
        <v>1.567245215843347</v>
      </c>
    </row>
    <row r="23" spans="1:19">
      <c r="A23" s="19">
        <v>10</v>
      </c>
      <c r="B23" s="19"/>
      <c r="C23" s="22" t="s">
        <v>48</v>
      </c>
      <c r="D23" s="30"/>
      <c r="E23" s="24">
        <v>411.56</v>
      </c>
      <c r="F23" s="25"/>
      <c r="G23" s="34">
        <v>356</v>
      </c>
      <c r="H23" s="25"/>
      <c r="I23" s="34">
        <v>357.92</v>
      </c>
      <c r="J23" s="26"/>
      <c r="K23" s="122">
        <v>359.52</v>
      </c>
      <c r="L23" s="27"/>
      <c r="M23" s="122">
        <f t="shared" si="2"/>
        <v>357.92</v>
      </c>
      <c r="O23" s="126">
        <f t="shared" si="0"/>
        <v>-4.4503782821538884E-3</v>
      </c>
      <c r="Q23" s="122">
        <f>+'Water Rate Design'!I17</f>
        <v>922.97</v>
      </c>
      <c r="S23" s="126">
        <f t="shared" si="1"/>
        <v>1.5672285269247888</v>
      </c>
    </row>
    <row r="24" spans="1:19">
      <c r="A24" s="19">
        <v>11</v>
      </c>
      <c r="B24" s="19"/>
      <c r="C24" s="22"/>
      <c r="D24" s="30"/>
      <c r="E24" s="25"/>
      <c r="F24" s="25"/>
      <c r="G24" s="25"/>
      <c r="H24" s="25"/>
      <c r="I24" s="65"/>
      <c r="J24" s="26"/>
      <c r="K24" s="122"/>
      <c r="L24" s="27"/>
      <c r="M24" s="122"/>
    </row>
    <row r="25" spans="1:19">
      <c r="A25" s="19">
        <v>12</v>
      </c>
      <c r="B25" s="19"/>
      <c r="C25" s="33" t="s">
        <v>33</v>
      </c>
      <c r="D25" s="30"/>
      <c r="E25" s="25"/>
      <c r="F25" s="25"/>
      <c r="G25" s="25"/>
      <c r="H25" s="25"/>
      <c r="I25" s="65"/>
      <c r="J25" s="25"/>
      <c r="K25" s="122"/>
      <c r="L25" s="27"/>
      <c r="M25" s="122"/>
    </row>
    <row r="26" spans="1:19">
      <c r="A26" s="19">
        <v>13</v>
      </c>
      <c r="B26" s="19"/>
      <c r="C26" s="33" t="s">
        <v>34</v>
      </c>
      <c r="D26" s="30"/>
      <c r="E26" s="34">
        <v>0.9</v>
      </c>
      <c r="F26" s="35"/>
      <c r="G26" s="34">
        <v>0.94</v>
      </c>
      <c r="H26" s="35"/>
      <c r="I26" s="34">
        <v>0.95</v>
      </c>
      <c r="J26" s="36"/>
      <c r="K26" s="122">
        <v>0.95</v>
      </c>
      <c r="L26" s="27"/>
      <c r="M26" s="122">
        <v>0.95</v>
      </c>
      <c r="O26" s="126">
        <f t="shared" ref="O26:O28" si="3">+M26/K26-1</f>
        <v>0</v>
      </c>
    </row>
    <row r="27" spans="1:19">
      <c r="A27" s="19">
        <v>14</v>
      </c>
      <c r="B27" s="19"/>
      <c r="C27" s="33" t="s">
        <v>187</v>
      </c>
      <c r="D27" s="30"/>
      <c r="E27" s="34">
        <v>0.98</v>
      </c>
      <c r="F27" s="35"/>
      <c r="G27" s="34">
        <v>1.41</v>
      </c>
      <c r="H27" s="35"/>
      <c r="I27" s="34">
        <v>1.42</v>
      </c>
      <c r="J27" s="36"/>
      <c r="K27" s="122">
        <v>1.43</v>
      </c>
      <c r="L27" s="27"/>
      <c r="M27" s="122">
        <v>1.42</v>
      </c>
      <c r="O27" s="126">
        <f t="shared" si="3"/>
        <v>-6.9930069930069783E-3</v>
      </c>
    </row>
    <row r="28" spans="1:19">
      <c r="A28" s="19">
        <v>15</v>
      </c>
      <c r="B28" s="19"/>
      <c r="C28" s="33" t="s">
        <v>67</v>
      </c>
      <c r="D28" s="30"/>
      <c r="E28" s="34">
        <v>1.48</v>
      </c>
      <c r="F28" s="35"/>
      <c r="G28" s="34">
        <v>2.35</v>
      </c>
      <c r="H28" s="35"/>
      <c r="I28" s="34">
        <v>2.36</v>
      </c>
      <c r="J28" s="36"/>
      <c r="K28" s="122">
        <v>2.37</v>
      </c>
      <c r="L28" s="27"/>
      <c r="M28" s="122">
        <v>2.36</v>
      </c>
      <c r="O28" s="126">
        <f t="shared" si="3"/>
        <v>-4.2194092827004814E-3</v>
      </c>
    </row>
    <row r="29" spans="1:19">
      <c r="A29" s="19"/>
      <c r="B29" s="19"/>
      <c r="C29" s="33" t="str">
        <f>+'Water Rate Design'!B40</f>
        <v>0-8k</v>
      </c>
      <c r="D29" s="30"/>
      <c r="E29" s="34"/>
      <c r="F29" s="35"/>
      <c r="G29" s="34"/>
      <c r="H29" s="35"/>
      <c r="I29" s="34"/>
      <c r="J29" s="36"/>
      <c r="K29" s="122"/>
      <c r="L29" s="27"/>
      <c r="M29" s="122"/>
      <c r="O29" s="126"/>
      <c r="Q29" s="122">
        <f>+'Water Rate Design'!I40</f>
        <v>1.97</v>
      </c>
      <c r="S29" s="126">
        <f>+Q29/K26-1</f>
        <v>1.073684210526316</v>
      </c>
    </row>
    <row r="30" spans="1:19">
      <c r="A30" s="19"/>
      <c r="B30" s="19"/>
      <c r="C30" s="33" t="str">
        <f>+'Water Rate Design'!B41</f>
        <v>8-16k</v>
      </c>
      <c r="D30" s="30"/>
      <c r="E30" s="34"/>
      <c r="F30" s="35"/>
      <c r="G30" s="34"/>
      <c r="H30" s="35"/>
      <c r="I30" s="34"/>
      <c r="J30" s="36"/>
      <c r="K30" s="122"/>
      <c r="L30" s="27"/>
      <c r="M30" s="122"/>
      <c r="O30" s="126"/>
      <c r="Q30" s="122">
        <f>+'Water Rate Design'!I41</f>
        <v>2.95</v>
      </c>
      <c r="S30" s="126">
        <f t="shared" ref="S30:S31" si="4">+Q30/K27-1</f>
        <v>1.0629370629370634</v>
      </c>
    </row>
    <row r="31" spans="1:19">
      <c r="A31" s="19">
        <v>16</v>
      </c>
      <c r="B31" s="19"/>
      <c r="C31" s="33" t="str">
        <f>+'Water Rate Design'!B42</f>
        <v>+16k</v>
      </c>
      <c r="D31" s="30"/>
      <c r="E31" s="34">
        <v>1.96</v>
      </c>
      <c r="F31" s="35"/>
      <c r="G31" s="34"/>
      <c r="H31" s="35"/>
      <c r="I31" s="34"/>
      <c r="J31" s="36"/>
      <c r="K31" s="122"/>
      <c r="L31" s="27"/>
      <c r="M31" s="122"/>
      <c r="Q31" s="122">
        <f>+'Water Rate Design'!I42</f>
        <v>3.93</v>
      </c>
      <c r="S31" s="126">
        <f t="shared" si="4"/>
        <v>0.65822784810126578</v>
      </c>
    </row>
    <row r="32" spans="1:19">
      <c r="A32" s="19">
        <v>17</v>
      </c>
      <c r="B32" s="19"/>
      <c r="C32" s="38"/>
      <c r="D32" s="30"/>
      <c r="E32" s="35"/>
      <c r="F32" s="35"/>
      <c r="G32" s="35"/>
      <c r="H32" s="35"/>
      <c r="I32" s="39"/>
      <c r="J32" s="40"/>
      <c r="K32" s="122"/>
      <c r="L32" s="27"/>
      <c r="M32" s="122"/>
    </row>
    <row r="33" spans="1:19">
      <c r="A33" s="19">
        <v>18</v>
      </c>
      <c r="B33" s="19"/>
      <c r="C33" s="41" t="s">
        <v>68</v>
      </c>
      <c r="D33" s="42"/>
      <c r="E33" s="43"/>
      <c r="F33" s="43"/>
      <c r="G33" s="43"/>
      <c r="H33" s="43"/>
      <c r="I33" s="43"/>
      <c r="J33" s="44"/>
      <c r="K33" s="122"/>
      <c r="L33" s="27"/>
      <c r="M33" s="122"/>
    </row>
    <row r="34" spans="1:19">
      <c r="A34" s="19">
        <v>19</v>
      </c>
      <c r="B34" s="19">
        <v>68006</v>
      </c>
      <c r="C34" s="22" t="s">
        <v>38</v>
      </c>
      <c r="D34" s="23"/>
      <c r="E34" s="24">
        <v>4.5599999999999996</v>
      </c>
      <c r="F34" s="25"/>
      <c r="G34" s="34">
        <v>4.45</v>
      </c>
      <c r="H34" s="25"/>
      <c r="I34" s="34">
        <v>4.47</v>
      </c>
      <c r="J34" s="26"/>
      <c r="K34" s="122">
        <v>4.49</v>
      </c>
      <c r="L34" s="27"/>
      <c r="M34" s="122">
        <f>+M15</f>
        <v>4.47</v>
      </c>
      <c r="O34" s="126">
        <f t="shared" ref="O34:O42" si="5">+M34/K34-1</f>
        <v>-4.4543429844099425E-3</v>
      </c>
      <c r="Q34" s="122">
        <f>+Q15</f>
        <v>11.54</v>
      </c>
      <c r="S34" s="126">
        <f t="shared" ref="S34:S44" si="6">+Q34/K34-1</f>
        <v>1.570155902004454</v>
      </c>
    </row>
    <row r="35" spans="1:19">
      <c r="A35" s="19">
        <v>20</v>
      </c>
      <c r="B35" s="19">
        <v>68006</v>
      </c>
      <c r="C35" s="29" t="s">
        <v>188</v>
      </c>
      <c r="D35" s="30"/>
      <c r="E35" s="24">
        <v>6.86</v>
      </c>
      <c r="F35" s="25"/>
      <c r="G35" s="34">
        <v>6.68</v>
      </c>
      <c r="H35" s="25"/>
      <c r="I35" s="34">
        <v>6.72</v>
      </c>
      <c r="J35" s="26"/>
      <c r="K35" s="122">
        <v>6.75</v>
      </c>
      <c r="L35" s="27"/>
      <c r="M35" s="122">
        <f t="shared" ref="M35:M42" si="7">+M16</f>
        <v>6.72</v>
      </c>
      <c r="O35" s="126">
        <f t="shared" si="5"/>
        <v>-4.4444444444444731E-3</v>
      </c>
      <c r="Q35" s="122">
        <f t="shared" ref="Q35:Q42" si="8">+Q16</f>
        <v>17.309999999999999</v>
      </c>
      <c r="S35" s="126">
        <f t="shared" si="6"/>
        <v>1.5644444444444443</v>
      </c>
    </row>
    <row r="36" spans="1:19">
      <c r="A36" s="19">
        <v>21</v>
      </c>
      <c r="B36" s="19">
        <v>68007</v>
      </c>
      <c r="C36" s="29" t="s">
        <v>27</v>
      </c>
      <c r="D36" s="30"/>
      <c r="E36" s="24">
        <v>11.42</v>
      </c>
      <c r="F36" s="25"/>
      <c r="G36" s="34">
        <v>11.13</v>
      </c>
      <c r="H36" s="25"/>
      <c r="I36" s="34">
        <v>11.19</v>
      </c>
      <c r="J36" s="26"/>
      <c r="K36" s="122">
        <v>11.24</v>
      </c>
      <c r="L36" s="27"/>
      <c r="M36" s="122">
        <f t="shared" si="7"/>
        <v>11.18</v>
      </c>
      <c r="O36" s="126">
        <f t="shared" si="5"/>
        <v>-5.3380782918149849E-3</v>
      </c>
      <c r="Q36" s="122">
        <f t="shared" si="8"/>
        <v>28.84</v>
      </c>
      <c r="S36" s="126">
        <f t="shared" si="6"/>
        <v>1.5658362989323842</v>
      </c>
    </row>
    <row r="37" spans="1:19">
      <c r="A37" s="19">
        <v>22</v>
      </c>
      <c r="B37" s="19">
        <v>68008</v>
      </c>
      <c r="C37" s="29" t="s">
        <v>28</v>
      </c>
      <c r="D37" s="30"/>
      <c r="E37" s="24">
        <v>22.84</v>
      </c>
      <c r="F37" s="25"/>
      <c r="G37" s="34">
        <v>22.25</v>
      </c>
      <c r="H37" s="25"/>
      <c r="I37" s="34">
        <v>22.37</v>
      </c>
      <c r="J37" s="26"/>
      <c r="K37" s="122">
        <v>22.47</v>
      </c>
      <c r="L37" s="27"/>
      <c r="M37" s="122">
        <f t="shared" si="7"/>
        <v>22.35</v>
      </c>
      <c r="O37" s="126">
        <f t="shared" si="5"/>
        <v>-5.3404539385846217E-3</v>
      </c>
      <c r="Q37" s="122">
        <f t="shared" si="8"/>
        <v>57.69</v>
      </c>
      <c r="S37" s="126">
        <f t="shared" si="6"/>
        <v>1.567423230974633</v>
      </c>
    </row>
    <row r="38" spans="1:19">
      <c r="A38" s="19">
        <v>23</v>
      </c>
      <c r="B38" s="19">
        <v>68009</v>
      </c>
      <c r="C38" s="29" t="s">
        <v>29</v>
      </c>
      <c r="D38" s="30"/>
      <c r="E38" s="24">
        <v>37.57</v>
      </c>
      <c r="F38" s="25"/>
      <c r="G38" s="34">
        <v>35.6</v>
      </c>
      <c r="H38" s="25"/>
      <c r="I38" s="34">
        <v>35.79</v>
      </c>
      <c r="J38" s="26"/>
      <c r="K38" s="122">
        <v>35.950000000000003</v>
      </c>
      <c r="L38" s="27"/>
      <c r="M38" s="122">
        <f t="shared" si="7"/>
        <v>35.79</v>
      </c>
      <c r="O38" s="126">
        <f t="shared" si="5"/>
        <v>-4.4506258692629252E-3</v>
      </c>
      <c r="Q38" s="122">
        <f t="shared" si="8"/>
        <v>92.3</v>
      </c>
      <c r="S38" s="126">
        <f t="shared" si="6"/>
        <v>1.5674547983310152</v>
      </c>
    </row>
    <row r="39" spans="1:19">
      <c r="A39" s="19">
        <v>24</v>
      </c>
      <c r="B39" s="19">
        <v>68005</v>
      </c>
      <c r="C39" s="29" t="s">
        <v>30</v>
      </c>
      <c r="D39" s="30"/>
      <c r="E39" s="24">
        <v>73.08</v>
      </c>
      <c r="F39" s="25"/>
      <c r="G39" s="34">
        <v>71.2</v>
      </c>
      <c r="H39" s="25"/>
      <c r="I39" s="34">
        <v>71.58</v>
      </c>
      <c r="J39" s="26"/>
      <c r="K39" s="122">
        <v>71.900000000000006</v>
      </c>
      <c r="L39" s="27"/>
      <c r="M39" s="122">
        <f t="shared" si="7"/>
        <v>71.58</v>
      </c>
      <c r="O39" s="126">
        <f t="shared" si="5"/>
        <v>-4.4506258692629252E-3</v>
      </c>
      <c r="Q39" s="122">
        <f t="shared" si="8"/>
        <v>184.59</v>
      </c>
      <c r="S39" s="126">
        <f t="shared" si="6"/>
        <v>1.5673157162726006</v>
      </c>
    </row>
    <row r="40" spans="1:19">
      <c r="A40" s="19">
        <v>25</v>
      </c>
      <c r="B40" s="19">
        <v>68016</v>
      </c>
      <c r="C40" s="29" t="s">
        <v>31</v>
      </c>
      <c r="D40" s="30"/>
      <c r="E40" s="24">
        <v>114.19</v>
      </c>
      <c r="F40" s="25"/>
      <c r="G40" s="34">
        <v>111.25</v>
      </c>
      <c r="H40" s="25"/>
      <c r="I40" s="34">
        <v>111.85</v>
      </c>
      <c r="J40" s="26"/>
      <c r="K40" s="122">
        <v>112.35</v>
      </c>
      <c r="L40" s="27"/>
      <c r="M40" s="122">
        <f t="shared" si="7"/>
        <v>111.85</v>
      </c>
      <c r="O40" s="126">
        <f t="shared" si="5"/>
        <v>-4.4503782821539994E-3</v>
      </c>
      <c r="Q40" s="122">
        <f t="shared" si="8"/>
        <v>288.43</v>
      </c>
      <c r="S40" s="126">
        <f t="shared" si="6"/>
        <v>1.567245215843347</v>
      </c>
    </row>
    <row r="41" spans="1:19">
      <c r="A41" s="19">
        <v>26</v>
      </c>
      <c r="B41" s="19">
        <v>68017</v>
      </c>
      <c r="C41" s="29" t="s">
        <v>32</v>
      </c>
      <c r="D41" s="30"/>
      <c r="E41" s="24">
        <v>228.38</v>
      </c>
      <c r="F41" s="25"/>
      <c r="G41" s="34">
        <v>222.5</v>
      </c>
      <c r="H41" s="25"/>
      <c r="I41" s="34">
        <v>223.7</v>
      </c>
      <c r="J41" s="26"/>
      <c r="K41" s="122">
        <v>224.7</v>
      </c>
      <c r="L41" s="27"/>
      <c r="M41" s="122">
        <f t="shared" si="7"/>
        <v>223.7</v>
      </c>
      <c r="O41" s="126">
        <f t="shared" si="5"/>
        <v>-4.4503782821539994E-3</v>
      </c>
      <c r="Q41" s="122">
        <f t="shared" si="8"/>
        <v>576.86</v>
      </c>
      <c r="S41" s="126">
        <f t="shared" si="6"/>
        <v>1.567245215843347</v>
      </c>
    </row>
    <row r="42" spans="1:19">
      <c r="A42" s="19">
        <v>27</v>
      </c>
      <c r="B42" s="19">
        <v>68018</v>
      </c>
      <c r="C42" s="22" t="s">
        <v>48</v>
      </c>
      <c r="D42" s="30"/>
      <c r="E42" s="24">
        <v>411.56</v>
      </c>
      <c r="F42" s="25"/>
      <c r="G42" s="34">
        <v>356</v>
      </c>
      <c r="H42" s="25"/>
      <c r="I42" s="34">
        <v>357.92</v>
      </c>
      <c r="J42" s="26"/>
      <c r="K42" s="122">
        <v>359.52</v>
      </c>
      <c r="L42" s="27"/>
      <c r="M42" s="122">
        <f t="shared" si="7"/>
        <v>357.92</v>
      </c>
      <c r="O42" s="126">
        <f t="shared" si="5"/>
        <v>-4.4503782821538884E-3</v>
      </c>
      <c r="Q42" s="122">
        <f t="shared" si="8"/>
        <v>922.97</v>
      </c>
      <c r="S42" s="126">
        <f t="shared" si="6"/>
        <v>1.5672285269247888</v>
      </c>
    </row>
    <row r="43" spans="1:19">
      <c r="A43" s="19">
        <v>28</v>
      </c>
      <c r="B43" s="19"/>
      <c r="C43" s="22"/>
      <c r="D43" s="30"/>
      <c r="E43" s="26"/>
      <c r="F43" s="25"/>
      <c r="G43" s="26"/>
      <c r="H43" s="25"/>
      <c r="I43" s="25"/>
      <c r="J43" s="26"/>
      <c r="K43" s="122"/>
      <c r="L43" s="27"/>
      <c r="M43" s="122"/>
      <c r="S43" s="126"/>
    </row>
    <row r="44" spans="1:19">
      <c r="A44" s="19">
        <v>29</v>
      </c>
      <c r="B44" s="19"/>
      <c r="C44" s="33" t="s">
        <v>33</v>
      </c>
      <c r="E44" s="34">
        <v>1.44</v>
      </c>
      <c r="F44" s="46"/>
      <c r="G44" s="34">
        <v>1.61</v>
      </c>
      <c r="H44" s="46"/>
      <c r="I44" s="34">
        <v>1.62</v>
      </c>
      <c r="J44" s="47"/>
      <c r="K44" s="122">
        <v>1.63</v>
      </c>
      <c r="L44" s="27"/>
      <c r="M44" s="122">
        <v>1.62</v>
      </c>
      <c r="O44" s="126">
        <f>+M44/K44-1</f>
        <v>-6.1349693251532278E-3</v>
      </c>
      <c r="Q44" s="122">
        <f>+'Water Rate Design'!I45</f>
        <v>2.98</v>
      </c>
      <c r="S44" s="126">
        <f t="shared" si="6"/>
        <v>0.82822085889570563</v>
      </c>
    </row>
    <row r="45" spans="1:19">
      <c r="A45" s="19">
        <v>30</v>
      </c>
      <c r="B45" s="19"/>
      <c r="C45" s="3"/>
      <c r="E45" s="66"/>
      <c r="F45" s="66"/>
      <c r="G45" s="66"/>
      <c r="H45" s="66"/>
      <c r="I45" s="66"/>
      <c r="K45" s="122"/>
      <c r="L45" s="27"/>
      <c r="M45" s="122"/>
    </row>
    <row r="46" spans="1:19">
      <c r="A46" s="19">
        <v>31</v>
      </c>
      <c r="C46" s="41" t="s">
        <v>58</v>
      </c>
      <c r="E46" s="35"/>
      <c r="F46" s="35"/>
      <c r="G46" s="35"/>
      <c r="H46" s="35"/>
      <c r="I46" s="35"/>
      <c r="J46" s="36"/>
      <c r="K46" s="122"/>
      <c r="L46" s="27"/>
      <c r="M46" s="122"/>
    </row>
    <row r="47" spans="1:19">
      <c r="A47" s="19">
        <v>32</v>
      </c>
      <c r="B47" s="12"/>
      <c r="C47" s="29" t="s">
        <v>28</v>
      </c>
      <c r="D47" s="48"/>
      <c r="E47" s="34">
        <v>1.91</v>
      </c>
      <c r="F47" s="66"/>
      <c r="G47" s="34">
        <v>1.85</v>
      </c>
      <c r="H47" s="66"/>
      <c r="I47" s="34">
        <v>1.86</v>
      </c>
      <c r="K47" s="122">
        <v>1.87</v>
      </c>
      <c r="L47" s="27"/>
      <c r="M47" s="122">
        <v>1.86</v>
      </c>
      <c r="O47" s="126">
        <f t="shared" ref="O47:O51" si="9">+M47/K47-1</f>
        <v>-5.3475935828877219E-3</v>
      </c>
      <c r="Q47" s="122">
        <f>+'Water Rate Design'!I25</f>
        <v>2.2599999999999998</v>
      </c>
      <c r="S47" s="126">
        <f t="shared" ref="S47:S51" si="10">+Q47/K47-1</f>
        <v>0.20855614973262004</v>
      </c>
    </row>
    <row r="48" spans="1:19">
      <c r="A48" s="19">
        <v>33</v>
      </c>
      <c r="B48" s="12"/>
      <c r="C48" s="29" t="s">
        <v>29</v>
      </c>
      <c r="E48" s="34">
        <v>3.04</v>
      </c>
      <c r="F48" s="66"/>
      <c r="G48" s="34">
        <v>2.97</v>
      </c>
      <c r="H48" s="66"/>
      <c r="I48" s="34">
        <v>2.99</v>
      </c>
      <c r="K48" s="122">
        <v>3</v>
      </c>
      <c r="L48" s="27"/>
      <c r="M48" s="122">
        <v>2.99</v>
      </c>
      <c r="O48" s="126">
        <f t="shared" si="9"/>
        <v>-3.3333333333332993E-3</v>
      </c>
      <c r="Q48" s="122">
        <f>+'Water Rate Design'!I26</f>
        <v>3.61</v>
      </c>
      <c r="S48" s="126">
        <f t="shared" si="10"/>
        <v>0.20333333333333337</v>
      </c>
    </row>
    <row r="49" spans="1:19">
      <c r="A49" s="19">
        <v>34</v>
      </c>
      <c r="B49" s="12"/>
      <c r="C49" s="29" t="s">
        <v>31</v>
      </c>
      <c r="E49" s="34">
        <v>9.51</v>
      </c>
      <c r="F49" s="66"/>
      <c r="G49" s="34">
        <v>9.27</v>
      </c>
      <c r="H49" s="66"/>
      <c r="I49" s="34">
        <v>9.32</v>
      </c>
      <c r="K49" s="122">
        <v>9.36</v>
      </c>
      <c r="L49" s="27"/>
      <c r="M49" s="122">
        <v>9.32</v>
      </c>
      <c r="O49" s="126">
        <f t="shared" si="9"/>
        <v>-4.2735042735041473E-3</v>
      </c>
      <c r="Q49" s="122">
        <f>+'Water Rate Design'!I27</f>
        <v>11.29</v>
      </c>
      <c r="S49" s="126">
        <f t="shared" si="10"/>
        <v>0.20619658119658113</v>
      </c>
    </row>
    <row r="50" spans="1:19">
      <c r="A50" s="19">
        <v>35</v>
      </c>
      <c r="B50" s="12"/>
      <c r="C50" s="29" t="s">
        <v>32</v>
      </c>
      <c r="E50" s="34">
        <v>19.04</v>
      </c>
      <c r="F50" s="67"/>
      <c r="G50" s="34">
        <v>18.54</v>
      </c>
      <c r="H50" s="67"/>
      <c r="I50" s="34">
        <v>18.64</v>
      </c>
      <c r="J50" s="50"/>
      <c r="K50" s="122">
        <v>18.72</v>
      </c>
      <c r="L50" s="27"/>
      <c r="M50" s="122">
        <v>18.649999999999999</v>
      </c>
      <c r="O50" s="126">
        <f t="shared" si="9"/>
        <v>-3.739316239316226E-3</v>
      </c>
      <c r="Q50" s="122">
        <f>+'Water Rate Design'!I28</f>
        <v>22.59</v>
      </c>
      <c r="S50" s="126">
        <f t="shared" si="10"/>
        <v>0.20673076923076938</v>
      </c>
    </row>
    <row r="51" spans="1:19">
      <c r="A51" s="19">
        <v>36</v>
      </c>
      <c r="B51" s="12"/>
      <c r="C51" s="22" t="s">
        <v>48</v>
      </c>
      <c r="E51" s="34">
        <v>34.299999999999997</v>
      </c>
      <c r="F51" s="66"/>
      <c r="G51" s="34">
        <v>29.67</v>
      </c>
      <c r="H51" s="66"/>
      <c r="I51" s="34">
        <v>29.83</v>
      </c>
      <c r="K51" s="122">
        <v>29.96</v>
      </c>
      <c r="L51" s="27"/>
      <c r="M51" s="122">
        <v>29.84</v>
      </c>
      <c r="O51" s="126">
        <f t="shared" si="9"/>
        <v>-4.0053404539386328E-3</v>
      </c>
      <c r="Q51" s="122">
        <f>+'Water Rate Design'!I29</f>
        <v>36.14</v>
      </c>
      <c r="S51" s="126">
        <f t="shared" si="10"/>
        <v>0.20627503337783715</v>
      </c>
    </row>
    <row r="52" spans="1:19">
      <c r="A52" s="12"/>
      <c r="B52" s="12"/>
      <c r="C52" s="52"/>
      <c r="K52" s="21"/>
      <c r="L52" s="21"/>
      <c r="M52" s="21"/>
    </row>
    <row r="53" spans="1:19">
      <c r="A53" s="12"/>
      <c r="B53" s="12"/>
      <c r="C53" s="52"/>
      <c r="K53" s="21"/>
      <c r="L53" s="21"/>
      <c r="M53" s="21"/>
    </row>
    <row r="54" spans="1:19">
      <c r="A54" s="12"/>
      <c r="B54" s="12"/>
      <c r="C54" s="53"/>
      <c r="K54" s="21"/>
      <c r="L54" s="21"/>
      <c r="M54" s="21"/>
    </row>
    <row r="55" spans="1:19">
      <c r="A55" s="12"/>
      <c r="B55" s="12"/>
      <c r="C55" s="29"/>
      <c r="K55" s="21"/>
      <c r="L55" s="21"/>
      <c r="M55" s="21"/>
    </row>
    <row r="56" spans="1:19">
      <c r="A56" s="12"/>
      <c r="B56" s="12"/>
      <c r="C56" s="29"/>
      <c r="K56" s="21"/>
      <c r="L56" s="21"/>
      <c r="M56" s="21"/>
    </row>
    <row r="57" spans="1:19">
      <c r="A57" s="12"/>
      <c r="B57" s="12"/>
      <c r="C57" s="29"/>
      <c r="K57" s="21"/>
      <c r="L57" s="21"/>
      <c r="M57" s="21"/>
    </row>
    <row r="58" spans="1:19">
      <c r="A58" s="12"/>
      <c r="B58" s="12"/>
      <c r="C58" s="29"/>
      <c r="K58" s="21"/>
      <c r="L58" s="21"/>
      <c r="M58" s="21"/>
    </row>
    <row r="59" spans="1:19">
      <c r="A59" s="12"/>
      <c r="B59" s="12"/>
      <c r="C59" s="29"/>
      <c r="K59" s="21"/>
      <c r="L59" s="21"/>
      <c r="M59" s="21"/>
    </row>
    <row r="60" spans="1:19">
      <c r="A60" s="12"/>
      <c r="B60" s="12"/>
      <c r="C60" s="29"/>
      <c r="K60" s="21"/>
      <c r="L60" s="21"/>
      <c r="M60" s="21"/>
    </row>
    <row r="61" spans="1:19">
      <c r="A61" s="12"/>
      <c r="B61" s="12"/>
      <c r="C61" s="29"/>
      <c r="K61" s="21"/>
      <c r="L61" s="21"/>
      <c r="M61" s="21"/>
    </row>
    <row r="62" spans="1:19">
      <c r="A62" s="12"/>
      <c r="B62" s="12"/>
      <c r="C62" s="41"/>
      <c r="K62" s="21"/>
      <c r="L62" s="21"/>
      <c r="M62" s="21"/>
    </row>
    <row r="63" spans="1:19">
      <c r="A63" s="12"/>
      <c r="B63" s="12"/>
      <c r="C63" s="29"/>
      <c r="K63" s="21"/>
      <c r="L63" s="21"/>
      <c r="M63" s="21"/>
    </row>
    <row r="64" spans="1:19">
      <c r="A64" s="12"/>
      <c r="B64" s="12"/>
      <c r="C64" s="29"/>
      <c r="K64" s="21"/>
      <c r="L64" s="21"/>
      <c r="M64" s="21"/>
    </row>
    <row r="65" spans="1:13">
      <c r="A65" s="12"/>
      <c r="B65" s="12"/>
      <c r="C65" s="29"/>
      <c r="K65" s="21"/>
      <c r="L65" s="21"/>
      <c r="M65" s="21"/>
    </row>
    <row r="66" spans="1:13">
      <c r="A66" s="12"/>
      <c r="B66" s="12"/>
      <c r="C66" s="29"/>
      <c r="K66" s="21"/>
      <c r="L66" s="21"/>
      <c r="M66" s="21"/>
    </row>
    <row r="67" spans="1:13">
      <c r="A67" s="12"/>
      <c r="B67" s="12"/>
      <c r="C67" s="29"/>
      <c r="K67" s="21"/>
      <c r="L67" s="21"/>
      <c r="M67" s="21"/>
    </row>
    <row r="68" spans="1:13">
      <c r="A68" s="12"/>
      <c r="B68" s="12"/>
      <c r="C68" s="29"/>
      <c r="K68" s="21"/>
      <c r="L68" s="21"/>
      <c r="M68" s="21"/>
    </row>
    <row r="69" spans="1:13">
      <c r="A69" s="12"/>
      <c r="B69" s="12"/>
      <c r="C69" s="29"/>
    </row>
    <row r="106" spans="11:11">
      <c r="K106" s="54"/>
    </row>
    <row r="109" spans="11:11">
      <c r="K109" s="54"/>
    </row>
    <row r="232" spans="1:10">
      <c r="E232" s="55"/>
      <c r="F232" s="55"/>
      <c r="G232" s="55"/>
      <c r="H232" s="55"/>
      <c r="I232" s="55"/>
      <c r="J232" s="55"/>
    </row>
    <row r="233" spans="1:10">
      <c r="E233" s="55"/>
      <c r="F233" s="55"/>
      <c r="G233" s="55"/>
      <c r="H233" s="55"/>
      <c r="I233" s="55"/>
      <c r="J233" s="55"/>
    </row>
    <row r="234" spans="1:10">
      <c r="E234" s="55"/>
      <c r="F234" s="55"/>
      <c r="G234" s="55"/>
      <c r="H234" s="55"/>
      <c r="I234" s="55"/>
      <c r="J234" s="55"/>
    </row>
    <row r="235" spans="1:10">
      <c r="A235" s="55"/>
      <c r="B235" s="55"/>
      <c r="C235" s="56"/>
      <c r="D235" s="55"/>
      <c r="E235" s="55"/>
      <c r="F235" s="55"/>
      <c r="G235" s="55"/>
      <c r="H235" s="55"/>
      <c r="I235" s="55"/>
      <c r="J235" s="55"/>
    </row>
    <row r="236" spans="1:10">
      <c r="A236" s="55"/>
      <c r="B236" s="55"/>
      <c r="C236" s="56"/>
      <c r="D236" s="55"/>
      <c r="E236" s="55"/>
      <c r="F236" s="55"/>
      <c r="G236" s="55"/>
      <c r="H236" s="55"/>
      <c r="I236" s="55"/>
      <c r="J236" s="55"/>
    </row>
    <row r="237" spans="1:10">
      <c r="A237" s="55"/>
      <c r="B237" s="55"/>
      <c r="C237" s="56"/>
      <c r="D237" s="55"/>
    </row>
    <row r="238" spans="1:10">
      <c r="A238" s="55"/>
      <c r="B238" s="55"/>
      <c r="C238" s="56"/>
      <c r="D238" s="55"/>
    </row>
    <row r="239" spans="1:10">
      <c r="A239" s="55"/>
      <c r="B239" s="55"/>
      <c r="C239" s="56"/>
      <c r="D239" s="55"/>
    </row>
    <row r="266" spans="1:10">
      <c r="E266" s="55"/>
      <c r="F266" s="55"/>
      <c r="G266" s="55"/>
      <c r="H266" s="55"/>
      <c r="I266" s="55"/>
      <c r="J266" s="55"/>
    </row>
    <row r="269" spans="1:10">
      <c r="A269" s="55"/>
      <c r="B269" s="55"/>
      <c r="C269" s="56"/>
      <c r="D269" s="55"/>
    </row>
    <row r="338" spans="1:2">
      <c r="A338" s="1"/>
      <c r="B338" s="1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  <row r="408" spans="1:2">
      <c r="A408" s="55"/>
      <c r="B408" s="55"/>
    </row>
    <row r="409" spans="1:2">
      <c r="A409" s="55"/>
      <c r="B409" s="55"/>
    </row>
  </sheetData>
  <printOptions horizontalCentered="1"/>
  <pageMargins left="0.7" right="0.2" top="0.75" bottom="0.75" header="0.3" footer="0.3"/>
  <pageSetup scale="8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4"/>
  <sheetViews>
    <sheetView topLeftCell="A13" workbookViewId="0">
      <selection activeCell="K23" sqref="K23"/>
    </sheetView>
  </sheetViews>
  <sheetFormatPr defaultColWidth="10.85546875" defaultRowHeight="12"/>
  <cols>
    <col min="1" max="1" width="6.85546875" style="3" customWidth="1"/>
    <col min="2" max="2" width="8.42578125" style="3" hidden="1" customWidth="1"/>
    <col min="3" max="3" width="29" style="28" customWidth="1"/>
    <col min="4" max="4" width="1.7109375" style="3" customWidth="1"/>
    <col min="5" max="5" width="10.7109375" style="3" hidden="1" customWidth="1"/>
    <col min="6" max="6" width="1.7109375" style="3" hidden="1" customWidth="1"/>
    <col min="7" max="7" width="10.7109375" style="3" hidden="1" customWidth="1"/>
    <col min="8" max="8" width="1.7109375" style="3" hidden="1" customWidth="1"/>
    <col min="9" max="9" width="10.7109375" style="3" customWidth="1"/>
    <col min="10" max="10" width="2.7109375" style="3" customWidth="1"/>
    <col min="11" max="11" width="11.85546875" style="3" customWidth="1"/>
    <col min="12" max="12" width="1.7109375" style="3" customWidth="1"/>
    <col min="13" max="13" width="10.85546875" style="3"/>
    <col min="14" max="14" width="1.7109375" style="3" customWidth="1"/>
    <col min="15" max="15" width="10.85546875" style="3"/>
    <col min="16" max="16" width="1.7109375" style="3" customWidth="1"/>
    <col min="17" max="16384" width="10.85546875" style="3"/>
  </cols>
  <sheetData>
    <row r="1" spans="1:17">
      <c r="A1" s="1" t="s">
        <v>0</v>
      </c>
      <c r="B1" s="1"/>
      <c r="C1" s="2"/>
      <c r="E1" s="1"/>
      <c r="F1" s="1"/>
      <c r="G1" s="1"/>
      <c r="H1" s="1"/>
      <c r="I1" s="4" t="s">
        <v>1</v>
      </c>
      <c r="K1" s="4"/>
    </row>
    <row r="2" spans="1:17">
      <c r="A2" s="1"/>
      <c r="B2" s="1"/>
      <c r="C2" s="2"/>
      <c r="E2" s="1"/>
      <c r="F2" s="1"/>
      <c r="G2" s="1"/>
      <c r="H2" s="1"/>
      <c r="I2" s="4"/>
      <c r="K2" s="4"/>
    </row>
    <row r="3" spans="1:17">
      <c r="A3" s="1" t="s">
        <v>69</v>
      </c>
      <c r="B3" s="1"/>
      <c r="C3" s="2"/>
      <c r="E3" s="1"/>
      <c r="F3" s="1"/>
      <c r="G3" s="1"/>
      <c r="H3" s="1"/>
      <c r="I3" s="4"/>
      <c r="K3" s="4"/>
    </row>
    <row r="4" spans="1:17">
      <c r="A4" s="1" t="s">
        <v>4</v>
      </c>
      <c r="B4" s="1"/>
      <c r="C4" s="2"/>
      <c r="E4" s="1"/>
      <c r="F4" s="1"/>
      <c r="G4" s="1"/>
      <c r="H4" s="1"/>
      <c r="I4" s="5"/>
      <c r="K4" s="4"/>
    </row>
    <row r="5" spans="1:17">
      <c r="A5" s="1" t="s">
        <v>6</v>
      </c>
      <c r="B5" s="1"/>
      <c r="C5" s="2"/>
      <c r="E5" s="1"/>
      <c r="F5" s="1"/>
      <c r="G5" s="1"/>
      <c r="H5" s="1"/>
      <c r="I5" s="4"/>
      <c r="K5" s="4"/>
    </row>
    <row r="6" spans="1:17">
      <c r="A6" s="1" t="s">
        <v>8</v>
      </c>
      <c r="B6" s="1"/>
      <c r="C6" s="2"/>
      <c r="D6" s="1"/>
      <c r="E6" s="1"/>
      <c r="F6" s="1"/>
      <c r="G6" s="1"/>
      <c r="H6" s="1"/>
      <c r="I6" s="4"/>
      <c r="J6" s="4"/>
      <c r="K6" s="4"/>
    </row>
    <row r="7" spans="1:17">
      <c r="A7" s="1" t="s">
        <v>9</v>
      </c>
      <c r="B7" s="1"/>
      <c r="C7" s="2"/>
      <c r="D7" s="1"/>
      <c r="E7" s="1"/>
      <c r="F7" s="1"/>
      <c r="G7" s="1"/>
      <c r="H7" s="1"/>
      <c r="I7" s="1"/>
      <c r="J7" s="1"/>
      <c r="K7" s="1"/>
    </row>
    <row r="8" spans="1:17">
      <c r="A8" s="6" t="s">
        <v>10</v>
      </c>
      <c r="B8" s="6"/>
      <c r="C8" s="2"/>
      <c r="D8" s="1"/>
      <c r="E8" s="1"/>
      <c r="F8" s="1"/>
      <c r="G8" s="1"/>
      <c r="H8" s="1"/>
      <c r="I8" s="1"/>
      <c r="J8" s="1"/>
      <c r="K8" s="1"/>
    </row>
    <row r="9" spans="1:17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>
      <c r="A10" s="9"/>
      <c r="B10" s="10" t="s">
        <v>11</v>
      </c>
      <c r="C10" s="11"/>
      <c r="D10" s="12"/>
      <c r="E10" s="11"/>
      <c r="G10" s="11"/>
      <c r="H10" s="13"/>
      <c r="I10" s="11"/>
      <c r="K10" s="11"/>
      <c r="L10" s="11"/>
      <c r="M10" s="11"/>
      <c r="N10" s="11"/>
      <c r="O10" s="11"/>
      <c r="Q10" s="11"/>
    </row>
    <row r="11" spans="1:17">
      <c r="C11" s="2"/>
      <c r="D11" s="1"/>
      <c r="E11" s="12" t="s">
        <v>12</v>
      </c>
      <c r="F11" s="1"/>
      <c r="G11" s="12" t="s">
        <v>12</v>
      </c>
      <c r="H11" s="1"/>
      <c r="J11" s="12"/>
      <c r="K11" s="12"/>
      <c r="L11" s="12"/>
      <c r="M11" s="12" t="s">
        <v>184</v>
      </c>
      <c r="O11" s="12" t="s">
        <v>183</v>
      </c>
      <c r="Q11" s="12" t="s">
        <v>184</v>
      </c>
    </row>
    <row r="12" spans="1:17">
      <c r="A12" s="12" t="s">
        <v>14</v>
      </c>
      <c r="B12" s="12" t="s">
        <v>15</v>
      </c>
      <c r="C12" s="2"/>
      <c r="D12" s="1"/>
      <c r="E12" s="12" t="s">
        <v>16</v>
      </c>
      <c r="F12" s="1"/>
      <c r="G12" s="12" t="s">
        <v>16</v>
      </c>
      <c r="H12" s="1"/>
      <c r="I12" s="12" t="s">
        <v>13</v>
      </c>
      <c r="J12" s="12"/>
      <c r="K12" s="12" t="s">
        <v>18</v>
      </c>
      <c r="L12" s="12"/>
      <c r="M12" s="12" t="s">
        <v>185</v>
      </c>
      <c r="O12" s="12" t="s">
        <v>182</v>
      </c>
      <c r="Q12" s="12" t="s">
        <v>185</v>
      </c>
    </row>
    <row r="13" spans="1:17" ht="14.25">
      <c r="A13" s="14" t="s">
        <v>19</v>
      </c>
      <c r="B13" s="14" t="s">
        <v>20</v>
      </c>
      <c r="C13" s="15" t="s">
        <v>21</v>
      </c>
      <c r="D13" s="16"/>
      <c r="E13" s="17" t="s">
        <v>70</v>
      </c>
      <c r="F13" s="64"/>
      <c r="G13" s="17" t="s">
        <v>71</v>
      </c>
      <c r="H13" s="17"/>
      <c r="I13" s="130" t="s">
        <v>17</v>
      </c>
      <c r="J13" s="18"/>
      <c r="K13" s="14" t="s">
        <v>17</v>
      </c>
      <c r="L13" s="124"/>
      <c r="M13" s="125" t="s">
        <v>186</v>
      </c>
      <c r="O13" s="14" t="s">
        <v>17</v>
      </c>
      <c r="Q13" s="14" t="s">
        <v>186</v>
      </c>
    </row>
    <row r="14" spans="1:17">
      <c r="A14" s="19">
        <v>1</v>
      </c>
      <c r="B14" s="19"/>
      <c r="C14" s="20" t="s">
        <v>24</v>
      </c>
      <c r="I14" s="21"/>
      <c r="J14" s="21"/>
      <c r="K14" s="21"/>
    </row>
    <row r="15" spans="1:17">
      <c r="A15" s="19">
        <v>2</v>
      </c>
      <c r="B15" s="19">
        <v>68001</v>
      </c>
      <c r="C15" s="22" t="s">
        <v>25</v>
      </c>
      <c r="D15" s="23"/>
      <c r="E15" s="24">
        <v>3.66</v>
      </c>
      <c r="F15" s="25"/>
      <c r="G15" s="24">
        <v>3.7</v>
      </c>
      <c r="H15" s="26"/>
      <c r="I15" s="122">
        <v>3.7</v>
      </c>
      <c r="J15" s="27"/>
      <c r="K15" s="122">
        <v>6.4</v>
      </c>
      <c r="M15" s="126">
        <f>+K15/I15-1</f>
        <v>0.72972972972972983</v>
      </c>
      <c r="O15" s="122">
        <f>+'Water Rate Design'!I9</f>
        <v>11.54</v>
      </c>
      <c r="Q15" s="126">
        <f>+O15/I15-1</f>
        <v>2.1189189189189186</v>
      </c>
    </row>
    <row r="16" spans="1:17">
      <c r="A16" s="19"/>
      <c r="B16" s="19"/>
      <c r="C16" s="29" t="s">
        <v>188</v>
      </c>
      <c r="D16" s="23"/>
      <c r="E16" s="24"/>
      <c r="F16" s="25"/>
      <c r="G16" s="24"/>
      <c r="H16" s="26"/>
      <c r="I16" s="122"/>
      <c r="J16" s="27"/>
      <c r="K16" s="122"/>
      <c r="M16" s="126"/>
      <c r="O16" s="122">
        <f>+'Water Rate Design'!I10</f>
        <v>17.309999999999999</v>
      </c>
      <c r="Q16" s="126"/>
    </row>
    <row r="17" spans="1:17">
      <c r="A17" s="19">
        <v>3</v>
      </c>
      <c r="B17" s="19">
        <v>68003</v>
      </c>
      <c r="C17" s="29" t="s">
        <v>27</v>
      </c>
      <c r="D17" s="30"/>
      <c r="E17" s="24">
        <v>9.15</v>
      </c>
      <c r="F17" s="25"/>
      <c r="G17" s="24">
        <v>9.26</v>
      </c>
      <c r="H17" s="26"/>
      <c r="I17" s="122">
        <v>9.26</v>
      </c>
      <c r="J17" s="31"/>
      <c r="K17" s="122">
        <v>16.010000000000002</v>
      </c>
      <c r="M17" s="126">
        <f t="shared" ref="M17:M24" si="0">+K17/I17-1</f>
        <v>0.72894168466522702</v>
      </c>
      <c r="O17" s="122">
        <f>+'Water Rate Design'!I11</f>
        <v>28.84</v>
      </c>
      <c r="Q17" s="126">
        <f t="shared" ref="Q17:Q22" si="1">+O17/I17-1</f>
        <v>2.1144708423326133</v>
      </c>
    </row>
    <row r="18" spans="1:17">
      <c r="A18" s="19">
        <v>4</v>
      </c>
      <c r="B18" s="19">
        <v>68004</v>
      </c>
      <c r="C18" s="29" t="s">
        <v>28</v>
      </c>
      <c r="D18" s="30"/>
      <c r="E18" s="24">
        <v>18.3</v>
      </c>
      <c r="F18" s="25"/>
      <c r="G18" s="24">
        <v>18.52</v>
      </c>
      <c r="H18" s="26"/>
      <c r="I18" s="122">
        <v>18.52</v>
      </c>
      <c r="J18" s="27"/>
      <c r="K18" s="122">
        <v>32.020000000000003</v>
      </c>
      <c r="M18" s="126">
        <f t="shared" si="0"/>
        <v>0.72894168466522702</v>
      </c>
      <c r="O18" s="122">
        <f>+'Water Rate Design'!I12</f>
        <v>57.69</v>
      </c>
      <c r="Q18" s="126">
        <f t="shared" si="1"/>
        <v>2.1150107991360692</v>
      </c>
    </row>
    <row r="19" spans="1:17">
      <c r="A19" s="19">
        <v>5</v>
      </c>
      <c r="B19" s="19"/>
      <c r="C19" s="29" t="s">
        <v>29</v>
      </c>
      <c r="D19" s="30"/>
      <c r="E19" s="24">
        <v>29.27</v>
      </c>
      <c r="F19" s="25"/>
      <c r="G19" s="24">
        <v>29.62</v>
      </c>
      <c r="H19" s="26"/>
      <c r="I19" s="122">
        <v>29.62</v>
      </c>
      <c r="J19" s="27"/>
      <c r="K19" s="122">
        <v>51.23</v>
      </c>
      <c r="M19" s="126">
        <f t="shared" si="0"/>
        <v>0.72957461174881821</v>
      </c>
      <c r="O19" s="122">
        <f>+'Water Rate Design'!I13</f>
        <v>92.3</v>
      </c>
      <c r="Q19" s="126">
        <f t="shared" si="1"/>
        <v>2.1161377447670491</v>
      </c>
    </row>
    <row r="20" spans="1:17">
      <c r="A20" s="19">
        <v>6</v>
      </c>
      <c r="B20" s="19"/>
      <c r="C20" s="29" t="s">
        <v>30</v>
      </c>
      <c r="D20" s="30"/>
      <c r="E20" s="24">
        <v>58.55</v>
      </c>
      <c r="F20" s="25"/>
      <c r="G20" s="24">
        <v>59.24</v>
      </c>
      <c r="H20" s="26"/>
      <c r="I20" s="122">
        <v>59.24</v>
      </c>
      <c r="J20" s="27"/>
      <c r="K20" s="122">
        <v>102.47</v>
      </c>
      <c r="M20" s="126">
        <f t="shared" si="0"/>
        <v>0.72974341661039821</v>
      </c>
      <c r="O20" s="122">
        <f>+'Water Rate Design'!I14</f>
        <v>184.59</v>
      </c>
      <c r="Q20" s="126">
        <f t="shared" si="1"/>
        <v>2.1159689399054691</v>
      </c>
    </row>
    <row r="21" spans="1:17">
      <c r="A21" s="19">
        <v>7</v>
      </c>
      <c r="B21" s="19"/>
      <c r="C21" s="29" t="s">
        <v>31</v>
      </c>
      <c r="D21" s="30"/>
      <c r="E21" s="24">
        <v>91.49</v>
      </c>
      <c r="F21" s="25"/>
      <c r="G21" s="24">
        <v>92.57</v>
      </c>
      <c r="H21" s="26"/>
      <c r="I21" s="122">
        <v>92.57</v>
      </c>
      <c r="J21" s="27"/>
      <c r="K21" s="122">
        <v>160.1</v>
      </c>
      <c r="M21" s="126">
        <f t="shared" si="0"/>
        <v>0.72950199848763098</v>
      </c>
      <c r="O21" s="122">
        <f>+'Water Rate Design'!I15</f>
        <v>288.43</v>
      </c>
      <c r="Q21" s="126">
        <f t="shared" si="1"/>
        <v>2.1158042562385226</v>
      </c>
    </row>
    <row r="22" spans="1:17">
      <c r="A22" s="19">
        <v>8</v>
      </c>
      <c r="B22" s="19"/>
      <c r="C22" s="29" t="s">
        <v>32</v>
      </c>
      <c r="D22" s="30"/>
      <c r="E22" s="24">
        <v>182.97</v>
      </c>
      <c r="F22" s="25"/>
      <c r="G22" s="24">
        <v>185.13</v>
      </c>
      <c r="H22" s="26"/>
      <c r="I22" s="122">
        <v>185.13</v>
      </c>
      <c r="J22" s="27"/>
      <c r="K22" s="122">
        <v>320.20999999999998</v>
      </c>
      <c r="M22" s="126">
        <f t="shared" si="0"/>
        <v>0.7296494355317884</v>
      </c>
      <c r="O22" s="122">
        <f>+'Water Rate Design'!I16</f>
        <v>576.86</v>
      </c>
      <c r="Q22" s="126">
        <f t="shared" si="1"/>
        <v>2.1159725598228274</v>
      </c>
    </row>
    <row r="23" spans="1:17">
      <c r="A23" s="19">
        <v>9</v>
      </c>
      <c r="B23" s="19"/>
      <c r="C23" s="22"/>
      <c r="D23" s="30"/>
      <c r="E23" s="25"/>
      <c r="F23" s="25"/>
      <c r="G23" s="25"/>
      <c r="H23" s="26"/>
      <c r="J23" s="27"/>
    </row>
    <row r="24" spans="1:17">
      <c r="A24" s="19">
        <v>10</v>
      </c>
      <c r="B24" s="19"/>
      <c r="C24" s="33" t="s">
        <v>33</v>
      </c>
      <c r="D24" s="30"/>
      <c r="E24" s="34">
        <v>2.21</v>
      </c>
      <c r="F24" s="25"/>
      <c r="G24" s="34">
        <v>2.2400000000000002</v>
      </c>
      <c r="H24" s="25"/>
      <c r="I24" s="122">
        <v>2.2400000000000002</v>
      </c>
      <c r="J24" s="122"/>
      <c r="K24" s="122">
        <v>3.88</v>
      </c>
      <c r="M24" s="126">
        <f t="shared" si="0"/>
        <v>0.73214285714285698</v>
      </c>
    </row>
    <row r="25" spans="1:17">
      <c r="A25" s="19"/>
      <c r="B25" s="19"/>
      <c r="C25" s="33" t="str">
        <f>+'Water Rate Design'!B40</f>
        <v>0-8k</v>
      </c>
      <c r="D25" s="30"/>
      <c r="E25" s="34"/>
      <c r="F25" s="25"/>
      <c r="G25" s="34"/>
      <c r="H25" s="25"/>
      <c r="I25" s="122"/>
      <c r="J25" s="31"/>
      <c r="K25" s="122"/>
      <c r="M25" s="126"/>
      <c r="O25" s="122">
        <f>+'Water Rate Design'!I40</f>
        <v>1.97</v>
      </c>
      <c r="Q25" s="126">
        <f>+O25/I$24-1</f>
        <v>-0.12053571428571441</v>
      </c>
    </row>
    <row r="26" spans="1:17">
      <c r="A26" s="19"/>
      <c r="B26" s="19"/>
      <c r="C26" s="33" t="str">
        <f>+'Water Rate Design'!B41</f>
        <v>8-16k</v>
      </c>
      <c r="D26" s="30"/>
      <c r="E26" s="34"/>
      <c r="F26" s="25"/>
      <c r="G26" s="34"/>
      <c r="H26" s="25"/>
      <c r="I26" s="122"/>
      <c r="J26" s="31"/>
      <c r="K26" s="122"/>
      <c r="M26" s="126"/>
      <c r="O26" s="122">
        <f>+'Water Rate Design'!I41</f>
        <v>2.95</v>
      </c>
      <c r="Q26" s="126">
        <f t="shared" ref="Q26:Q27" si="2">+O26/I$24-1</f>
        <v>0.31696428571428559</v>
      </c>
    </row>
    <row r="27" spans="1:17">
      <c r="A27" s="19"/>
      <c r="B27" s="19"/>
      <c r="C27" s="33" t="str">
        <f>+'Water Rate Design'!B42</f>
        <v>+16k</v>
      </c>
      <c r="D27" s="30"/>
      <c r="E27" s="34"/>
      <c r="F27" s="25"/>
      <c r="G27" s="34"/>
      <c r="H27" s="25"/>
      <c r="I27" s="122"/>
      <c r="J27" s="31"/>
      <c r="K27" s="122"/>
      <c r="M27" s="126"/>
      <c r="O27" s="122">
        <f>+'Water Rate Design'!I42</f>
        <v>3.93</v>
      </c>
      <c r="Q27" s="126">
        <f t="shared" si="2"/>
        <v>0.75446428571428559</v>
      </c>
    </row>
    <row r="28" spans="1:17">
      <c r="A28" s="19">
        <v>14</v>
      </c>
      <c r="B28" s="19"/>
      <c r="C28" s="38"/>
      <c r="D28" s="30"/>
      <c r="E28" s="35"/>
      <c r="F28" s="35"/>
      <c r="G28" s="39"/>
      <c r="H28" s="40"/>
      <c r="J28" s="27"/>
    </row>
    <row r="29" spans="1:17">
      <c r="A29" s="19">
        <v>15</v>
      </c>
      <c r="B29" s="19"/>
      <c r="C29" s="41" t="s">
        <v>37</v>
      </c>
      <c r="D29" s="42"/>
      <c r="E29" s="43"/>
      <c r="F29" s="43"/>
      <c r="G29" s="43"/>
      <c r="H29" s="44"/>
      <c r="J29" s="27"/>
    </row>
    <row r="30" spans="1:17">
      <c r="A30" s="19">
        <v>16</v>
      </c>
      <c r="B30" s="19">
        <v>68006</v>
      </c>
      <c r="C30" s="22" t="s">
        <v>38</v>
      </c>
      <c r="D30" s="23"/>
      <c r="E30" s="24">
        <v>3.66</v>
      </c>
      <c r="F30" s="25"/>
      <c r="G30" s="24">
        <v>3.7</v>
      </c>
      <c r="H30" s="26"/>
      <c r="I30" s="122">
        <v>3.7</v>
      </c>
      <c r="J30" s="27"/>
      <c r="K30" s="122">
        <f>+K15</f>
        <v>6.4</v>
      </c>
      <c r="M30" s="126">
        <f t="shared" ref="M30:M37" si="3">+K30/I30-1</f>
        <v>0.72972972972972983</v>
      </c>
      <c r="O30" s="122">
        <f>+O15</f>
        <v>11.54</v>
      </c>
      <c r="Q30" s="126">
        <f t="shared" ref="Q30:Q37" si="4">+O30/I30-1</f>
        <v>2.1189189189189186</v>
      </c>
    </row>
    <row r="31" spans="1:17">
      <c r="A31" s="19"/>
      <c r="B31" s="19"/>
      <c r="C31" s="29" t="s">
        <v>188</v>
      </c>
      <c r="D31" s="23"/>
      <c r="E31" s="24"/>
      <c r="F31" s="25"/>
      <c r="G31" s="24"/>
      <c r="H31" s="26"/>
      <c r="I31" s="122"/>
      <c r="J31" s="27"/>
      <c r="K31" s="122"/>
      <c r="M31" s="126"/>
      <c r="O31" s="122">
        <f t="shared" ref="O31:O37" si="5">+O16</f>
        <v>17.309999999999999</v>
      </c>
      <c r="Q31" s="126"/>
    </row>
    <row r="32" spans="1:17">
      <c r="A32" s="19">
        <v>18</v>
      </c>
      <c r="B32" s="19">
        <v>68007</v>
      </c>
      <c r="C32" s="29" t="s">
        <v>27</v>
      </c>
      <c r="D32" s="30"/>
      <c r="E32" s="24">
        <v>9.15</v>
      </c>
      <c r="F32" s="25"/>
      <c r="G32" s="24">
        <v>9.26</v>
      </c>
      <c r="H32" s="26"/>
      <c r="I32" s="122">
        <v>9.26</v>
      </c>
      <c r="J32" s="27"/>
      <c r="K32" s="122">
        <f t="shared" ref="K32:K37" si="6">+K17</f>
        <v>16.010000000000002</v>
      </c>
      <c r="M32" s="126">
        <f t="shared" si="3"/>
        <v>0.72894168466522702</v>
      </c>
      <c r="O32" s="122">
        <f t="shared" si="5"/>
        <v>28.84</v>
      </c>
      <c r="Q32" s="126">
        <f t="shared" si="4"/>
        <v>2.1144708423326133</v>
      </c>
    </row>
    <row r="33" spans="1:17">
      <c r="A33" s="19">
        <v>19</v>
      </c>
      <c r="B33" s="19">
        <v>68008</v>
      </c>
      <c r="C33" s="29" t="s">
        <v>28</v>
      </c>
      <c r="D33" s="30"/>
      <c r="E33" s="24">
        <v>18.3</v>
      </c>
      <c r="F33" s="25"/>
      <c r="G33" s="24">
        <v>18.52</v>
      </c>
      <c r="H33" s="26"/>
      <c r="I33" s="122">
        <v>18.52</v>
      </c>
      <c r="J33" s="27"/>
      <c r="K33" s="122">
        <f t="shared" si="6"/>
        <v>32.020000000000003</v>
      </c>
      <c r="M33" s="126">
        <f t="shared" si="3"/>
        <v>0.72894168466522702</v>
      </c>
      <c r="O33" s="122">
        <f t="shared" si="5"/>
        <v>57.69</v>
      </c>
      <c r="Q33" s="126">
        <f t="shared" si="4"/>
        <v>2.1150107991360692</v>
      </c>
    </row>
    <row r="34" spans="1:17">
      <c r="A34" s="19">
        <v>20</v>
      </c>
      <c r="B34" s="19">
        <v>68009</v>
      </c>
      <c r="C34" s="29" t="s">
        <v>29</v>
      </c>
      <c r="D34" s="30"/>
      <c r="E34" s="24">
        <v>29.27</v>
      </c>
      <c r="F34" s="25"/>
      <c r="G34" s="24">
        <v>29.62</v>
      </c>
      <c r="H34" s="26"/>
      <c r="I34" s="122">
        <v>29.62</v>
      </c>
      <c r="J34" s="27"/>
      <c r="K34" s="122">
        <f t="shared" si="6"/>
        <v>51.23</v>
      </c>
      <c r="M34" s="126">
        <f t="shared" si="3"/>
        <v>0.72957461174881821</v>
      </c>
      <c r="O34" s="122">
        <f t="shared" si="5"/>
        <v>92.3</v>
      </c>
      <c r="Q34" s="126">
        <f t="shared" si="4"/>
        <v>2.1161377447670491</v>
      </c>
    </row>
    <row r="35" spans="1:17">
      <c r="A35" s="19">
        <v>21</v>
      </c>
      <c r="B35" s="19">
        <v>68005</v>
      </c>
      <c r="C35" s="29" t="s">
        <v>30</v>
      </c>
      <c r="D35" s="30"/>
      <c r="E35" s="24">
        <v>58.55</v>
      </c>
      <c r="F35" s="25"/>
      <c r="G35" s="24">
        <v>59.24</v>
      </c>
      <c r="H35" s="26"/>
      <c r="I35" s="122">
        <v>59.24</v>
      </c>
      <c r="J35" s="27"/>
      <c r="K35" s="122">
        <f t="shared" si="6"/>
        <v>102.47</v>
      </c>
      <c r="M35" s="126">
        <f t="shared" si="3"/>
        <v>0.72974341661039821</v>
      </c>
      <c r="O35" s="122">
        <f t="shared" si="5"/>
        <v>184.59</v>
      </c>
      <c r="Q35" s="126">
        <f t="shared" si="4"/>
        <v>2.1159689399054691</v>
      </c>
    </row>
    <row r="36" spans="1:17">
      <c r="A36" s="19">
        <v>22</v>
      </c>
      <c r="B36" s="19">
        <v>68016</v>
      </c>
      <c r="C36" s="29" t="s">
        <v>31</v>
      </c>
      <c r="D36" s="30"/>
      <c r="E36" s="24">
        <v>91.49</v>
      </c>
      <c r="F36" s="25"/>
      <c r="G36" s="24">
        <v>92.57</v>
      </c>
      <c r="H36" s="26"/>
      <c r="I36" s="122">
        <v>92.57</v>
      </c>
      <c r="J36" s="31"/>
      <c r="K36" s="122">
        <f t="shared" si="6"/>
        <v>160.1</v>
      </c>
      <c r="M36" s="126">
        <f t="shared" si="3"/>
        <v>0.72950199848763098</v>
      </c>
      <c r="O36" s="122">
        <f t="shared" si="5"/>
        <v>288.43</v>
      </c>
      <c r="Q36" s="126">
        <f t="shared" si="4"/>
        <v>2.1158042562385226</v>
      </c>
    </row>
    <row r="37" spans="1:17">
      <c r="A37" s="19">
        <v>23</v>
      </c>
      <c r="B37" s="19">
        <v>68017</v>
      </c>
      <c r="C37" s="29" t="s">
        <v>32</v>
      </c>
      <c r="D37" s="30"/>
      <c r="E37" s="24">
        <v>182.97</v>
      </c>
      <c r="F37" s="25"/>
      <c r="G37" s="24">
        <v>185.13</v>
      </c>
      <c r="H37" s="26"/>
      <c r="I37" s="122">
        <v>185.13</v>
      </c>
      <c r="J37" s="36"/>
      <c r="K37" s="122">
        <f t="shared" si="6"/>
        <v>320.20999999999998</v>
      </c>
      <c r="M37" s="126">
        <f t="shared" si="3"/>
        <v>0.7296494355317884</v>
      </c>
      <c r="O37" s="122">
        <f t="shared" si="5"/>
        <v>576.86</v>
      </c>
      <c r="Q37" s="126">
        <f t="shared" si="4"/>
        <v>2.1159725598228274</v>
      </c>
    </row>
    <row r="38" spans="1:17">
      <c r="A38" s="19"/>
      <c r="B38" s="19"/>
      <c r="C38" s="22"/>
      <c r="D38" s="30"/>
      <c r="E38" s="25"/>
      <c r="F38" s="25"/>
      <c r="G38" s="25"/>
      <c r="H38" s="26"/>
      <c r="J38" s="36"/>
    </row>
    <row r="39" spans="1:17">
      <c r="A39" s="19">
        <v>25</v>
      </c>
      <c r="B39" s="19"/>
      <c r="C39" s="33" t="s">
        <v>33</v>
      </c>
      <c r="E39" s="34">
        <v>2.21</v>
      </c>
      <c r="F39" s="46"/>
      <c r="G39" s="34">
        <v>2.2400000000000002</v>
      </c>
      <c r="H39" s="47"/>
      <c r="I39" s="122">
        <v>2.2400000000000002</v>
      </c>
      <c r="J39" s="27"/>
      <c r="K39" s="122">
        <f>+K24</f>
        <v>3.88</v>
      </c>
      <c r="M39" s="126">
        <f t="shared" ref="M39" si="7">+K39/I39-1</f>
        <v>0.73214285714285698</v>
      </c>
      <c r="O39" s="122">
        <f>+'Water Rate Design'!I45</f>
        <v>2.98</v>
      </c>
      <c r="Q39" s="126">
        <f>+O39/I39-1</f>
        <v>0.33035714285714279</v>
      </c>
    </row>
    <row r="40" spans="1:17">
      <c r="A40" s="19"/>
      <c r="B40" s="19"/>
      <c r="C40" s="3"/>
      <c r="J40" s="27"/>
      <c r="K40" s="27"/>
    </row>
    <row r="41" spans="1:17">
      <c r="A41" s="19"/>
      <c r="C41" s="3"/>
      <c r="E41" s="36"/>
      <c r="F41" s="36"/>
      <c r="G41" s="36"/>
      <c r="H41" s="36"/>
      <c r="I41" s="36"/>
      <c r="J41" s="27"/>
      <c r="K41" s="27"/>
    </row>
    <row r="42" spans="1:17">
      <c r="A42" s="12"/>
      <c r="B42" s="12"/>
      <c r="C42" s="29"/>
      <c r="D42" s="48"/>
      <c r="J42" s="21"/>
      <c r="K42" s="21"/>
    </row>
    <row r="43" spans="1:17">
      <c r="A43" s="12"/>
      <c r="B43" s="12"/>
      <c r="C43" s="29"/>
      <c r="J43" s="21"/>
      <c r="K43" s="21"/>
    </row>
    <row r="44" spans="1:17">
      <c r="A44" s="12"/>
      <c r="B44" s="12"/>
      <c r="C44" s="29"/>
      <c r="I44" s="49"/>
      <c r="J44" s="21"/>
      <c r="K44" s="21"/>
    </row>
    <row r="45" spans="1:17">
      <c r="A45" s="12"/>
      <c r="B45" s="12"/>
      <c r="C45" s="29"/>
      <c r="E45" s="50"/>
      <c r="F45" s="50"/>
      <c r="G45" s="50"/>
      <c r="H45" s="50"/>
      <c r="I45" s="51"/>
      <c r="J45" s="51"/>
      <c r="K45" s="51"/>
    </row>
    <row r="46" spans="1:17">
      <c r="A46" s="12"/>
      <c r="B46" s="12"/>
      <c r="C46" s="29"/>
      <c r="I46" s="21"/>
      <c r="J46" s="21"/>
      <c r="K46" s="21"/>
    </row>
    <row r="47" spans="1:17">
      <c r="A47" s="12"/>
      <c r="B47" s="12"/>
      <c r="C47" s="52"/>
      <c r="I47" s="21"/>
      <c r="J47" s="21"/>
      <c r="K47" s="21"/>
    </row>
    <row r="48" spans="1:17">
      <c r="A48" s="12"/>
      <c r="B48" s="12"/>
      <c r="C48" s="52"/>
      <c r="I48" s="21"/>
      <c r="J48" s="21"/>
      <c r="K48" s="21"/>
    </row>
    <row r="49" spans="1:11">
      <c r="A49" s="12"/>
      <c r="B49" s="12"/>
      <c r="C49" s="53"/>
      <c r="I49" s="21"/>
      <c r="J49" s="21"/>
      <c r="K49" s="21"/>
    </row>
    <row r="50" spans="1:11">
      <c r="A50" s="12"/>
      <c r="B50" s="12"/>
      <c r="C50" s="29"/>
      <c r="I50" s="21"/>
      <c r="J50" s="21"/>
      <c r="K50" s="21"/>
    </row>
    <row r="51" spans="1:11">
      <c r="A51" s="12"/>
      <c r="B51" s="12"/>
      <c r="C51" s="29"/>
      <c r="I51" s="21"/>
      <c r="J51" s="21"/>
      <c r="K51" s="21"/>
    </row>
    <row r="52" spans="1:11">
      <c r="A52" s="12"/>
      <c r="B52" s="12"/>
      <c r="C52" s="29"/>
      <c r="I52" s="21"/>
      <c r="J52" s="21"/>
      <c r="K52" s="21"/>
    </row>
    <row r="53" spans="1:11">
      <c r="A53" s="12"/>
      <c r="B53" s="12"/>
      <c r="C53" s="29"/>
      <c r="I53" s="21"/>
      <c r="J53" s="21"/>
      <c r="K53" s="21"/>
    </row>
    <row r="54" spans="1:11">
      <c r="A54" s="12"/>
      <c r="B54" s="12"/>
      <c r="C54" s="29"/>
      <c r="I54" s="21"/>
      <c r="J54" s="21"/>
      <c r="K54" s="21"/>
    </row>
    <row r="55" spans="1:11">
      <c r="A55" s="12"/>
      <c r="B55" s="12"/>
      <c r="C55" s="29"/>
      <c r="I55" s="21"/>
      <c r="J55" s="21"/>
      <c r="K55" s="21"/>
    </row>
    <row r="56" spans="1:11">
      <c r="A56" s="12"/>
      <c r="B56" s="12"/>
      <c r="C56" s="29"/>
      <c r="I56" s="21"/>
      <c r="J56" s="21"/>
      <c r="K56" s="21"/>
    </row>
    <row r="57" spans="1:11">
      <c r="A57" s="12"/>
      <c r="B57" s="12"/>
      <c r="C57" s="41"/>
      <c r="I57" s="21"/>
      <c r="J57" s="21"/>
      <c r="K57" s="21"/>
    </row>
    <row r="58" spans="1:11">
      <c r="A58" s="12"/>
      <c r="B58" s="12"/>
      <c r="C58" s="29"/>
      <c r="I58" s="21"/>
      <c r="J58" s="21"/>
      <c r="K58" s="21"/>
    </row>
    <row r="59" spans="1:11">
      <c r="A59" s="12"/>
      <c r="B59" s="12"/>
      <c r="C59" s="29"/>
      <c r="I59" s="21"/>
      <c r="J59" s="21"/>
      <c r="K59" s="21"/>
    </row>
    <row r="60" spans="1:11">
      <c r="A60" s="12"/>
      <c r="B60" s="12"/>
      <c r="C60" s="29"/>
      <c r="I60" s="21"/>
      <c r="J60" s="21"/>
      <c r="K60" s="21"/>
    </row>
    <row r="61" spans="1:11">
      <c r="A61" s="12"/>
      <c r="B61" s="12"/>
      <c r="C61" s="29"/>
      <c r="I61" s="21"/>
      <c r="J61" s="21"/>
      <c r="K61" s="21"/>
    </row>
    <row r="62" spans="1:11">
      <c r="A62" s="12"/>
      <c r="B62" s="12"/>
      <c r="C62" s="29"/>
      <c r="I62" s="21"/>
      <c r="J62" s="21"/>
      <c r="K62" s="21"/>
    </row>
    <row r="63" spans="1:11">
      <c r="A63" s="12"/>
      <c r="B63" s="12"/>
      <c r="C63" s="29"/>
      <c r="I63" s="21"/>
      <c r="J63" s="21"/>
      <c r="K63" s="21"/>
    </row>
    <row r="64" spans="1:11">
      <c r="A64" s="12"/>
      <c r="B64" s="12"/>
      <c r="C64" s="29"/>
    </row>
    <row r="101" spans="9:9">
      <c r="I101" s="54"/>
    </row>
    <row r="104" spans="9:9">
      <c r="I104" s="54"/>
    </row>
    <row r="227" spans="1:8">
      <c r="E227" s="55"/>
      <c r="F227" s="55"/>
      <c r="G227" s="55"/>
      <c r="H227" s="55"/>
    </row>
    <row r="228" spans="1:8">
      <c r="E228" s="55"/>
      <c r="F228" s="55"/>
      <c r="G228" s="55"/>
      <c r="H228" s="55"/>
    </row>
    <row r="229" spans="1:8">
      <c r="E229" s="55"/>
      <c r="F229" s="55"/>
      <c r="G229" s="55"/>
      <c r="H229" s="55"/>
    </row>
    <row r="230" spans="1:8">
      <c r="A230" s="55"/>
      <c r="B230" s="55"/>
      <c r="C230" s="56"/>
      <c r="D230" s="55"/>
      <c r="E230" s="55"/>
      <c r="F230" s="55"/>
      <c r="G230" s="55"/>
      <c r="H230" s="55"/>
    </row>
    <row r="231" spans="1:8">
      <c r="A231" s="55"/>
      <c r="B231" s="55"/>
      <c r="C231" s="56"/>
      <c r="D231" s="55"/>
      <c r="E231" s="55"/>
      <c r="F231" s="55"/>
      <c r="G231" s="55"/>
      <c r="H231" s="55"/>
    </row>
    <row r="232" spans="1:8">
      <c r="A232" s="55"/>
      <c r="B232" s="55"/>
      <c r="C232" s="56"/>
      <c r="D232" s="55"/>
    </row>
    <row r="233" spans="1:8">
      <c r="A233" s="55"/>
      <c r="B233" s="55"/>
      <c r="C233" s="56"/>
      <c r="D233" s="55"/>
    </row>
    <row r="234" spans="1:8">
      <c r="A234" s="55"/>
      <c r="B234" s="55"/>
      <c r="C234" s="56"/>
      <c r="D234" s="55"/>
    </row>
    <row r="261" spans="1:8">
      <c r="E261" s="55"/>
      <c r="F261" s="55"/>
      <c r="G261" s="55"/>
      <c r="H261" s="55"/>
    </row>
    <row r="264" spans="1:8">
      <c r="A264" s="55"/>
      <c r="B264" s="55"/>
      <c r="C264" s="56"/>
      <c r="D264" s="55"/>
    </row>
    <row r="333" spans="1:2">
      <c r="A333" s="1"/>
      <c r="B333" s="1"/>
    </row>
    <row r="350" spans="1:2">
      <c r="A350" s="55"/>
      <c r="B350" s="55"/>
    </row>
    <row r="351" spans="1:2">
      <c r="A351" s="55"/>
      <c r="B351" s="55"/>
    </row>
    <row r="352" spans="1:2">
      <c r="A352" s="55"/>
      <c r="B352" s="55"/>
    </row>
    <row r="353" spans="1:2">
      <c r="A353" s="55"/>
      <c r="B353" s="55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8"/>
  <sheetViews>
    <sheetView topLeftCell="A7" workbookViewId="0">
      <selection activeCell="K43" sqref="K43"/>
    </sheetView>
  </sheetViews>
  <sheetFormatPr defaultColWidth="10.85546875" defaultRowHeight="12"/>
  <cols>
    <col min="1" max="1" width="6.85546875" style="3" customWidth="1"/>
    <col min="2" max="2" width="8.42578125" style="3" hidden="1" customWidth="1"/>
    <col min="3" max="3" width="29" style="28" customWidth="1"/>
    <col min="4" max="4" width="1.7109375" style="3" customWidth="1"/>
    <col min="5" max="5" width="10.7109375" style="3" hidden="1" customWidth="1"/>
    <col min="6" max="6" width="1.7109375" style="3" hidden="1" customWidth="1"/>
    <col min="7" max="7" width="10.7109375" style="3" hidden="1" customWidth="1"/>
    <col min="8" max="8" width="1.7109375" style="3" hidden="1" customWidth="1"/>
    <col min="9" max="9" width="10.7109375" style="3" customWidth="1"/>
    <col min="10" max="10" width="2.7109375" style="3" customWidth="1"/>
    <col min="11" max="11" width="11.85546875" style="3" customWidth="1"/>
    <col min="12" max="12" width="1.7109375" style="3" customWidth="1"/>
    <col min="13" max="13" width="10.85546875" style="3"/>
    <col min="14" max="14" width="1.7109375" style="3" customWidth="1"/>
    <col min="15" max="15" width="10.85546875" style="3"/>
    <col min="16" max="16" width="1.7109375" style="3" customWidth="1"/>
    <col min="17" max="17" width="10.85546875" style="3"/>
    <col min="18" max="18" width="1.7109375" style="3" customWidth="1"/>
    <col min="19" max="16384" width="10.85546875" style="3"/>
  </cols>
  <sheetData>
    <row r="1" spans="1:19">
      <c r="A1" s="1" t="s">
        <v>0</v>
      </c>
      <c r="B1" s="1"/>
      <c r="C1" s="2"/>
      <c r="E1" s="1"/>
      <c r="F1" s="1"/>
      <c r="G1" s="1"/>
      <c r="H1" s="1"/>
      <c r="I1" s="4" t="s">
        <v>1</v>
      </c>
      <c r="K1" s="4"/>
    </row>
    <row r="2" spans="1:19">
      <c r="A2" s="1"/>
      <c r="B2" s="1"/>
      <c r="C2" s="2"/>
      <c r="E2" s="1"/>
      <c r="F2" s="1"/>
      <c r="G2" s="1"/>
      <c r="H2" s="1"/>
      <c r="I2" s="4"/>
      <c r="K2" s="4"/>
    </row>
    <row r="3" spans="1:19">
      <c r="A3" s="1" t="s">
        <v>72</v>
      </c>
      <c r="B3" s="1"/>
      <c r="C3" s="2"/>
      <c r="E3" s="1"/>
      <c r="F3" s="1"/>
      <c r="G3" s="1"/>
      <c r="H3" s="1"/>
      <c r="I3" s="4"/>
      <c r="K3" s="4"/>
    </row>
    <row r="4" spans="1:19">
      <c r="A4" s="1" t="s">
        <v>4</v>
      </c>
      <c r="B4" s="1"/>
      <c r="C4" s="2"/>
      <c r="E4" s="1"/>
      <c r="F4" s="1"/>
      <c r="G4" s="1"/>
      <c r="H4" s="1"/>
      <c r="I4" s="5"/>
      <c r="K4" s="4"/>
    </row>
    <row r="5" spans="1:19">
      <c r="A5" s="1" t="s">
        <v>6</v>
      </c>
      <c r="B5" s="1"/>
      <c r="C5" s="2"/>
      <c r="E5" s="1"/>
      <c r="F5" s="1"/>
      <c r="G5" s="1"/>
      <c r="H5" s="1"/>
      <c r="I5" s="4"/>
      <c r="K5" s="4"/>
    </row>
    <row r="6" spans="1:19">
      <c r="A6" s="1" t="s">
        <v>8</v>
      </c>
      <c r="B6" s="1"/>
      <c r="C6" s="2"/>
      <c r="D6" s="1"/>
      <c r="E6" s="1"/>
      <c r="F6" s="1"/>
      <c r="G6" s="1"/>
      <c r="H6" s="1"/>
      <c r="I6" s="4"/>
      <c r="J6" s="4"/>
      <c r="K6" s="4"/>
    </row>
    <row r="7" spans="1:19">
      <c r="A7" s="1" t="s">
        <v>9</v>
      </c>
      <c r="B7" s="1"/>
      <c r="C7" s="2"/>
      <c r="D7" s="1"/>
      <c r="E7" s="1"/>
      <c r="F7" s="1"/>
      <c r="G7" s="1"/>
      <c r="H7" s="1"/>
      <c r="I7" s="1"/>
      <c r="J7" s="1"/>
      <c r="K7" s="1"/>
    </row>
    <row r="8" spans="1:19">
      <c r="A8" s="6" t="s">
        <v>10</v>
      </c>
      <c r="B8" s="6"/>
      <c r="C8" s="2"/>
      <c r="D8" s="1"/>
      <c r="E8" s="1"/>
      <c r="F8" s="1"/>
      <c r="G8" s="1"/>
      <c r="H8" s="1"/>
      <c r="I8" s="1"/>
      <c r="J8" s="1"/>
      <c r="K8" s="1"/>
    </row>
    <row r="9" spans="1:19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9">
      <c r="A10" s="9"/>
      <c r="B10" s="10" t="s">
        <v>11</v>
      </c>
      <c r="C10" s="11">
        <v>-1</v>
      </c>
      <c r="D10" s="12"/>
      <c r="E10" s="11">
        <v>-2</v>
      </c>
      <c r="G10" s="11">
        <v>-3</v>
      </c>
      <c r="H10" s="13"/>
      <c r="I10" s="11"/>
      <c r="K10" s="11"/>
      <c r="L10" s="11"/>
      <c r="M10" s="11"/>
      <c r="N10" s="11"/>
      <c r="O10" s="11"/>
      <c r="Q10" s="11"/>
    </row>
    <row r="11" spans="1:19">
      <c r="C11" s="2"/>
      <c r="D11" s="1"/>
      <c r="E11" s="12" t="s">
        <v>12</v>
      </c>
      <c r="F11" s="1"/>
      <c r="G11" s="12" t="s">
        <v>12</v>
      </c>
      <c r="H11" s="1"/>
      <c r="J11" s="12"/>
      <c r="K11" s="12"/>
      <c r="L11" s="12"/>
      <c r="M11" s="12" t="s">
        <v>184</v>
      </c>
      <c r="O11" s="12" t="s">
        <v>183</v>
      </c>
      <c r="Q11" s="12" t="s">
        <v>184</v>
      </c>
    </row>
    <row r="12" spans="1:19">
      <c r="A12" s="12" t="s">
        <v>14</v>
      </c>
      <c r="B12" s="12" t="s">
        <v>15</v>
      </c>
      <c r="C12" s="2"/>
      <c r="D12" s="1"/>
      <c r="E12" s="12" t="s">
        <v>16</v>
      </c>
      <c r="F12" s="1"/>
      <c r="G12" s="12" t="s">
        <v>16</v>
      </c>
      <c r="H12" s="1"/>
      <c r="I12" s="12" t="s">
        <v>13</v>
      </c>
      <c r="J12" s="12"/>
      <c r="K12" s="12" t="s">
        <v>18</v>
      </c>
      <c r="L12" s="12"/>
      <c r="M12" s="12" t="s">
        <v>185</v>
      </c>
      <c r="O12" s="12" t="s">
        <v>182</v>
      </c>
      <c r="Q12" s="12" t="s">
        <v>185</v>
      </c>
    </row>
    <row r="13" spans="1:19" ht="14.25">
      <c r="A13" s="14" t="s">
        <v>19</v>
      </c>
      <c r="B13" s="14" t="s">
        <v>20</v>
      </c>
      <c r="C13" s="15" t="s">
        <v>21</v>
      </c>
      <c r="D13" s="16"/>
      <c r="E13" s="68" t="s">
        <v>70</v>
      </c>
      <c r="F13" s="69"/>
      <c r="G13" s="68" t="s">
        <v>71</v>
      </c>
      <c r="H13" s="68"/>
      <c r="I13" s="130" t="s">
        <v>17</v>
      </c>
      <c r="J13" s="18"/>
      <c r="K13" s="14" t="s">
        <v>17</v>
      </c>
      <c r="L13" s="124"/>
      <c r="M13" s="125" t="s">
        <v>186</v>
      </c>
      <c r="O13" s="14" t="s">
        <v>17</v>
      </c>
      <c r="Q13" s="14" t="s">
        <v>186</v>
      </c>
    </row>
    <row r="14" spans="1:19">
      <c r="A14" s="19">
        <v>1</v>
      </c>
      <c r="B14" s="19"/>
      <c r="C14" s="20" t="s">
        <v>24</v>
      </c>
      <c r="I14" s="21"/>
      <c r="J14" s="21"/>
      <c r="K14" s="21"/>
    </row>
    <row r="15" spans="1:19">
      <c r="A15" s="19">
        <v>2</v>
      </c>
      <c r="B15" s="19">
        <v>68001</v>
      </c>
      <c r="C15" s="22" t="s">
        <v>25</v>
      </c>
      <c r="D15" s="23"/>
      <c r="E15" s="24">
        <v>8.44</v>
      </c>
      <c r="F15" s="25"/>
      <c r="G15" s="24">
        <v>8.49</v>
      </c>
      <c r="H15" s="26"/>
      <c r="I15" s="122">
        <v>8.5500000000000007</v>
      </c>
      <c r="J15" s="122"/>
      <c r="K15" s="122">
        <v>27.92</v>
      </c>
      <c r="M15" s="126">
        <f>+K15/I15-1</f>
        <v>2.2654970760233919</v>
      </c>
      <c r="O15" s="122">
        <f>+'Water Rate Design'!I9</f>
        <v>11.54</v>
      </c>
      <c r="Q15" s="126">
        <f>+O15/I15-1</f>
        <v>0.34970760233918097</v>
      </c>
      <c r="S15" s="70"/>
    </row>
    <row r="16" spans="1:19">
      <c r="A16" s="19"/>
      <c r="B16" s="19"/>
      <c r="C16" s="22" t="s">
        <v>26</v>
      </c>
      <c r="D16" s="23"/>
      <c r="E16" s="24"/>
      <c r="F16" s="25"/>
      <c r="G16" s="24"/>
      <c r="H16" s="26"/>
      <c r="I16" s="122"/>
      <c r="J16" s="122"/>
      <c r="K16" s="122"/>
      <c r="O16" s="122">
        <f>+'Water Rate Design'!I10</f>
        <v>17.309999999999999</v>
      </c>
      <c r="Q16" s="126"/>
      <c r="S16" s="70"/>
    </row>
    <row r="17" spans="1:17">
      <c r="A17" s="19">
        <v>3</v>
      </c>
      <c r="B17" s="19">
        <v>68003</v>
      </c>
      <c r="C17" s="29" t="s">
        <v>27</v>
      </c>
      <c r="D17" s="30"/>
      <c r="E17" s="24">
        <v>21.09</v>
      </c>
      <c r="F17" s="25"/>
      <c r="G17" s="24">
        <v>21.22</v>
      </c>
      <c r="H17" s="26"/>
      <c r="I17" s="122">
        <v>21.36</v>
      </c>
      <c r="J17" s="122"/>
      <c r="K17" s="122">
        <v>69.75</v>
      </c>
      <c r="M17" s="126">
        <f t="shared" ref="M17:M22" si="0">+K17/I17-1</f>
        <v>2.2654494382022472</v>
      </c>
      <c r="O17" s="122">
        <f>+'Water Rate Design'!I11</f>
        <v>28.84</v>
      </c>
      <c r="Q17" s="126">
        <f t="shared" ref="Q17:Q22" si="1">+O17/I17-1</f>
        <v>0.35018726591760307</v>
      </c>
    </row>
    <row r="18" spans="1:17">
      <c r="A18" s="19">
        <v>4</v>
      </c>
      <c r="B18" s="19">
        <v>68004</v>
      </c>
      <c r="C18" s="29" t="s">
        <v>28</v>
      </c>
      <c r="D18" s="30"/>
      <c r="E18" s="24">
        <v>42.18</v>
      </c>
      <c r="F18" s="25"/>
      <c r="G18" s="24">
        <v>42.45</v>
      </c>
      <c r="H18" s="26"/>
      <c r="I18" s="122">
        <v>42.73</v>
      </c>
      <c r="J18" s="122"/>
      <c r="K18" s="122">
        <v>139.54</v>
      </c>
      <c r="M18" s="126">
        <f t="shared" si="0"/>
        <v>2.2656213433185117</v>
      </c>
      <c r="O18" s="122">
        <f>+'Water Rate Design'!I12</f>
        <v>57.69</v>
      </c>
      <c r="Q18" s="126">
        <f t="shared" si="1"/>
        <v>0.35010531242686649</v>
      </c>
    </row>
    <row r="19" spans="1:17">
      <c r="A19" s="19">
        <v>5</v>
      </c>
      <c r="B19" s="19"/>
      <c r="C19" s="29" t="s">
        <v>29</v>
      </c>
      <c r="D19" s="30"/>
      <c r="E19" s="24">
        <v>67.48</v>
      </c>
      <c r="F19" s="25"/>
      <c r="G19" s="24">
        <v>67.91</v>
      </c>
      <c r="H19" s="26"/>
      <c r="I19" s="122">
        <v>68.349999999999994</v>
      </c>
      <c r="J19" s="122"/>
      <c r="K19" s="122">
        <v>223.2</v>
      </c>
      <c r="M19" s="126">
        <f t="shared" si="0"/>
        <v>2.2655449890270667</v>
      </c>
      <c r="O19" s="122">
        <f>+'Water Rate Design'!I13</f>
        <v>92.3</v>
      </c>
      <c r="Q19" s="126">
        <f t="shared" si="1"/>
        <v>0.35040234089246525</v>
      </c>
    </row>
    <row r="20" spans="1:17">
      <c r="A20" s="19">
        <v>6</v>
      </c>
      <c r="B20" s="19"/>
      <c r="C20" s="29" t="s">
        <v>30</v>
      </c>
      <c r="D20" s="30"/>
      <c r="E20" s="24">
        <v>134.96</v>
      </c>
      <c r="F20" s="25"/>
      <c r="G20" s="24">
        <v>135.82</v>
      </c>
      <c r="H20" s="26"/>
      <c r="I20" s="122">
        <v>136.69999999999999</v>
      </c>
      <c r="J20" s="122"/>
      <c r="K20" s="122">
        <v>446.4</v>
      </c>
      <c r="M20" s="126">
        <f t="shared" si="0"/>
        <v>2.2655449890270667</v>
      </c>
      <c r="O20" s="122">
        <f>+'Water Rate Design'!I14</f>
        <v>184.59</v>
      </c>
      <c r="Q20" s="126">
        <f t="shared" si="1"/>
        <v>0.35032918800292623</v>
      </c>
    </row>
    <row r="21" spans="1:17">
      <c r="A21" s="19">
        <v>7</v>
      </c>
      <c r="B21" s="19"/>
      <c r="C21" s="29" t="s">
        <v>31</v>
      </c>
      <c r="D21" s="30"/>
      <c r="E21" s="24">
        <v>210.88</v>
      </c>
      <c r="F21" s="25"/>
      <c r="G21" s="24">
        <v>212.32</v>
      </c>
      <c r="H21" s="26"/>
      <c r="I21" s="122">
        <v>213.61</v>
      </c>
      <c r="J21" s="122"/>
      <c r="K21" s="122">
        <v>697.5</v>
      </c>
      <c r="M21" s="126">
        <f t="shared" si="0"/>
        <v>2.26529656851271</v>
      </c>
      <c r="O21" s="122">
        <f>+'Water Rate Design'!I15</f>
        <v>288.43</v>
      </c>
      <c r="Q21" s="126">
        <f t="shared" si="1"/>
        <v>0.35026450072562132</v>
      </c>
    </row>
    <row r="22" spans="1:17">
      <c r="A22" s="19">
        <v>8</v>
      </c>
      <c r="B22" s="19"/>
      <c r="C22" s="29" t="s">
        <v>32</v>
      </c>
      <c r="D22" s="30"/>
      <c r="E22" s="24">
        <v>421.77</v>
      </c>
      <c r="F22" s="25"/>
      <c r="G22" s="24">
        <v>424.47</v>
      </c>
      <c r="H22" s="26"/>
      <c r="I22" s="122">
        <v>427.23</v>
      </c>
      <c r="J22" s="122"/>
      <c r="K22" s="122">
        <v>1395.13</v>
      </c>
      <c r="M22" s="126">
        <f t="shared" si="0"/>
        <v>2.2655244247829041</v>
      </c>
      <c r="O22" s="122">
        <f>+'Water Rate Design'!I16</f>
        <v>576.86</v>
      </c>
      <c r="Q22" s="126">
        <f t="shared" si="1"/>
        <v>0.35023289562998849</v>
      </c>
    </row>
    <row r="23" spans="1:17">
      <c r="A23" s="19">
        <v>9</v>
      </c>
      <c r="B23" s="19"/>
      <c r="C23" s="22"/>
      <c r="D23" s="30"/>
      <c r="E23" s="25"/>
      <c r="F23" s="25"/>
      <c r="G23" s="25"/>
      <c r="H23" s="26"/>
      <c r="I23" s="122"/>
      <c r="J23" s="122"/>
      <c r="K23" s="122"/>
    </row>
    <row r="24" spans="1:17">
      <c r="A24" s="19">
        <v>10</v>
      </c>
      <c r="B24" s="19"/>
      <c r="C24" s="33" t="s">
        <v>33</v>
      </c>
      <c r="D24" s="30"/>
      <c r="E24" s="25"/>
      <c r="F24" s="25"/>
      <c r="G24" s="25"/>
      <c r="H24" s="25"/>
      <c r="I24" s="122"/>
      <c r="J24" s="122"/>
      <c r="K24" s="122"/>
    </row>
    <row r="25" spans="1:17">
      <c r="A25" s="19">
        <v>11</v>
      </c>
      <c r="B25" s="19"/>
      <c r="C25" s="33" t="s">
        <v>34</v>
      </c>
      <c r="D25" s="30"/>
      <c r="E25" s="34">
        <v>3.42</v>
      </c>
      <c r="F25" s="35"/>
      <c r="G25" s="34">
        <v>3.44</v>
      </c>
      <c r="H25" s="36"/>
      <c r="I25" s="122">
        <v>3.46</v>
      </c>
      <c r="J25" s="122"/>
      <c r="K25" s="122">
        <v>11.3</v>
      </c>
      <c r="M25" s="126">
        <f t="shared" ref="M25:M28" si="2">+K25/I25-1</f>
        <v>2.2658959537572256</v>
      </c>
    </row>
    <row r="26" spans="1:17">
      <c r="A26" s="19">
        <v>12</v>
      </c>
      <c r="B26" s="19"/>
      <c r="C26" s="33" t="s">
        <v>73</v>
      </c>
      <c r="D26" s="30"/>
      <c r="E26" s="34">
        <v>3.54</v>
      </c>
      <c r="F26" s="35"/>
      <c r="G26" s="34">
        <v>3.56</v>
      </c>
      <c r="H26" s="36"/>
      <c r="I26" s="122">
        <v>3.58</v>
      </c>
      <c r="J26" s="122"/>
      <c r="K26" s="122">
        <v>11.69</v>
      </c>
      <c r="M26" s="126">
        <f t="shared" si="2"/>
        <v>2.2653631284916198</v>
      </c>
    </row>
    <row r="27" spans="1:17">
      <c r="A27" s="19">
        <v>13</v>
      </c>
      <c r="B27" s="19"/>
      <c r="C27" s="33" t="s">
        <v>74</v>
      </c>
      <c r="D27" s="30"/>
      <c r="E27" s="34">
        <v>5.32</v>
      </c>
      <c r="F27" s="35"/>
      <c r="G27" s="34">
        <v>5.35</v>
      </c>
      <c r="H27" s="36"/>
      <c r="I27" s="122">
        <v>5.38</v>
      </c>
      <c r="J27" s="122"/>
      <c r="K27" s="122">
        <v>17.57</v>
      </c>
      <c r="M27" s="126">
        <f t="shared" si="2"/>
        <v>2.2657992565055762</v>
      </c>
    </row>
    <row r="28" spans="1:17">
      <c r="A28" s="19">
        <v>14</v>
      </c>
      <c r="B28" s="19"/>
      <c r="C28" s="33" t="s">
        <v>75</v>
      </c>
      <c r="D28" s="30"/>
      <c r="E28" s="34">
        <v>6.2</v>
      </c>
      <c r="F28" s="35"/>
      <c r="G28" s="34">
        <v>6.24</v>
      </c>
      <c r="H28" s="36"/>
      <c r="I28" s="122">
        <v>6.28</v>
      </c>
      <c r="J28" s="122"/>
      <c r="K28" s="122">
        <v>20.51</v>
      </c>
      <c r="M28" s="126">
        <f t="shared" si="2"/>
        <v>2.265923566878981</v>
      </c>
    </row>
    <row r="29" spans="1:17">
      <c r="A29" s="19"/>
      <c r="B29" s="19"/>
      <c r="C29" s="33" t="str">
        <f>+'Water Rate Design'!B40</f>
        <v>0-8k</v>
      </c>
      <c r="D29" s="30"/>
      <c r="E29" s="34"/>
      <c r="F29" s="35"/>
      <c r="G29" s="34"/>
      <c r="H29" s="36"/>
      <c r="I29" s="122"/>
      <c r="J29" s="122"/>
      <c r="K29" s="122"/>
      <c r="M29" s="126"/>
      <c r="O29" s="122">
        <f>+'Water Rate Design'!I40</f>
        <v>1.97</v>
      </c>
      <c r="Q29" s="126">
        <f>O29/I26-1</f>
        <v>-0.44972067039106145</v>
      </c>
    </row>
    <row r="30" spans="1:17">
      <c r="A30" s="19"/>
      <c r="B30" s="19"/>
      <c r="C30" s="33" t="str">
        <f>+'Water Rate Design'!B41</f>
        <v>8-16k</v>
      </c>
      <c r="D30" s="30"/>
      <c r="E30" s="34"/>
      <c r="F30" s="35"/>
      <c r="G30" s="34"/>
      <c r="H30" s="36"/>
      <c r="I30" s="122"/>
      <c r="J30" s="122"/>
      <c r="K30" s="122"/>
      <c r="M30" s="126"/>
      <c r="O30" s="122">
        <f>+'Water Rate Design'!I41</f>
        <v>2.95</v>
      </c>
      <c r="Q30" s="126">
        <f t="shared" ref="Q30:Q31" si="3">O30/I27-1</f>
        <v>-0.45167286245353155</v>
      </c>
    </row>
    <row r="31" spans="1:17">
      <c r="A31" s="19"/>
      <c r="B31" s="19"/>
      <c r="C31" s="33" t="str">
        <f>+'Water Rate Design'!B42</f>
        <v>+16k</v>
      </c>
      <c r="D31" s="30"/>
      <c r="E31" s="34"/>
      <c r="F31" s="35"/>
      <c r="G31" s="34"/>
      <c r="H31" s="36"/>
      <c r="I31" s="122"/>
      <c r="J31" s="122"/>
      <c r="K31" s="122"/>
      <c r="M31" s="126"/>
      <c r="O31" s="122">
        <f>+'Water Rate Design'!I42</f>
        <v>3.93</v>
      </c>
      <c r="Q31" s="126">
        <f t="shared" si="3"/>
        <v>-0.37420382165605093</v>
      </c>
    </row>
    <row r="32" spans="1:17" s="138" customFormat="1">
      <c r="A32" s="131">
        <v>15</v>
      </c>
      <c r="B32" s="131"/>
      <c r="C32" s="132"/>
      <c r="D32" s="133"/>
      <c r="E32" s="134"/>
      <c r="F32" s="134"/>
      <c r="G32" s="135"/>
      <c r="H32" s="136"/>
      <c r="I32" s="137"/>
      <c r="J32" s="137"/>
      <c r="K32" s="137"/>
      <c r="M32" s="126"/>
      <c r="O32" s="122"/>
    </row>
    <row r="33" spans="1:17" s="138" customFormat="1">
      <c r="A33" s="131">
        <v>16</v>
      </c>
      <c r="B33" s="131"/>
      <c r="C33" s="139" t="s">
        <v>37</v>
      </c>
      <c r="D33" s="140"/>
      <c r="E33" s="141"/>
      <c r="F33" s="141"/>
      <c r="G33" s="141"/>
      <c r="H33" s="142"/>
      <c r="I33" s="137"/>
      <c r="J33" s="137"/>
      <c r="K33" s="137"/>
      <c r="M33" s="126"/>
      <c r="O33" s="122"/>
    </row>
    <row r="34" spans="1:17" s="138" customFormat="1">
      <c r="A34" s="131">
        <v>17</v>
      </c>
      <c r="B34" s="131">
        <v>68006</v>
      </c>
      <c r="C34" s="22" t="s">
        <v>38</v>
      </c>
      <c r="D34" s="23"/>
      <c r="E34" s="24">
        <v>8.44</v>
      </c>
      <c r="F34" s="25"/>
      <c r="G34" s="24">
        <v>8.49</v>
      </c>
      <c r="H34" s="26"/>
      <c r="I34" s="122">
        <v>8.5500000000000007</v>
      </c>
      <c r="J34" s="122"/>
      <c r="K34" s="122">
        <f>+K15</f>
        <v>27.92</v>
      </c>
      <c r="M34" s="126">
        <f>+K34/I34-1</f>
        <v>2.2654970760233919</v>
      </c>
      <c r="O34" s="122">
        <f>+O15</f>
        <v>11.54</v>
      </c>
      <c r="Q34" s="126">
        <f>+O34/I34-1</f>
        <v>0.34970760233918097</v>
      </c>
    </row>
    <row r="35" spans="1:17">
      <c r="A35" s="19"/>
      <c r="B35" s="19"/>
      <c r="C35" s="22" t="s">
        <v>26</v>
      </c>
      <c r="D35" s="23"/>
      <c r="E35" s="24"/>
      <c r="F35" s="25"/>
      <c r="G35" s="24"/>
      <c r="H35" s="26"/>
      <c r="I35" s="122"/>
      <c r="J35" s="122"/>
      <c r="K35" s="122"/>
      <c r="M35" s="126"/>
      <c r="O35" s="122">
        <f t="shared" ref="O35:O41" si="4">+O16</f>
        <v>17.309999999999999</v>
      </c>
      <c r="Q35" s="126"/>
    </row>
    <row r="36" spans="1:17">
      <c r="A36" s="19">
        <v>18</v>
      </c>
      <c r="B36" s="19">
        <v>68007</v>
      </c>
      <c r="C36" s="29" t="s">
        <v>27</v>
      </c>
      <c r="D36" s="30"/>
      <c r="E36" s="24">
        <v>21.09</v>
      </c>
      <c r="F36" s="25"/>
      <c r="G36" s="24">
        <v>21.22</v>
      </c>
      <c r="H36" s="26"/>
      <c r="I36" s="122">
        <v>21.36</v>
      </c>
      <c r="J36" s="122"/>
      <c r="K36" s="122">
        <f t="shared" ref="K36:K41" si="5">+K17</f>
        <v>69.75</v>
      </c>
      <c r="M36" s="126">
        <f t="shared" ref="M36:M41" si="6">+K36/I36-1</f>
        <v>2.2654494382022472</v>
      </c>
      <c r="O36" s="122">
        <f t="shared" si="4"/>
        <v>28.84</v>
      </c>
      <c r="Q36" s="126">
        <f t="shared" ref="Q36:Q41" si="7">+O36/I36-1</f>
        <v>0.35018726591760307</v>
      </c>
    </row>
    <row r="37" spans="1:17">
      <c r="A37" s="19">
        <v>19</v>
      </c>
      <c r="B37" s="19">
        <v>68008</v>
      </c>
      <c r="C37" s="29" t="s">
        <v>28</v>
      </c>
      <c r="D37" s="30"/>
      <c r="E37" s="24">
        <v>42.18</v>
      </c>
      <c r="F37" s="25"/>
      <c r="G37" s="24">
        <v>42.45</v>
      </c>
      <c r="H37" s="26"/>
      <c r="I37" s="122">
        <v>42.73</v>
      </c>
      <c r="J37" s="122"/>
      <c r="K37" s="122">
        <f t="shared" si="5"/>
        <v>139.54</v>
      </c>
      <c r="M37" s="126">
        <f t="shared" si="6"/>
        <v>2.2656213433185117</v>
      </c>
      <c r="O37" s="122">
        <f t="shared" si="4"/>
        <v>57.69</v>
      </c>
      <c r="Q37" s="126">
        <f t="shared" si="7"/>
        <v>0.35010531242686649</v>
      </c>
    </row>
    <row r="38" spans="1:17">
      <c r="A38" s="19">
        <v>20</v>
      </c>
      <c r="B38" s="19">
        <v>68009</v>
      </c>
      <c r="C38" s="29" t="s">
        <v>29</v>
      </c>
      <c r="D38" s="30"/>
      <c r="E38" s="24">
        <v>67.48</v>
      </c>
      <c r="F38" s="25"/>
      <c r="G38" s="24">
        <v>67.91</v>
      </c>
      <c r="H38" s="26"/>
      <c r="I38" s="122">
        <v>68.349999999999994</v>
      </c>
      <c r="J38" s="122"/>
      <c r="K38" s="122">
        <f t="shared" si="5"/>
        <v>223.2</v>
      </c>
      <c r="M38" s="126">
        <f t="shared" si="6"/>
        <v>2.2655449890270667</v>
      </c>
      <c r="O38" s="122">
        <f t="shared" si="4"/>
        <v>92.3</v>
      </c>
      <c r="Q38" s="126">
        <f t="shared" si="7"/>
        <v>0.35040234089246525</v>
      </c>
    </row>
    <row r="39" spans="1:17">
      <c r="A39" s="19">
        <v>21</v>
      </c>
      <c r="B39" s="19">
        <v>68005</v>
      </c>
      <c r="C39" s="29" t="s">
        <v>30</v>
      </c>
      <c r="D39" s="30"/>
      <c r="E39" s="24">
        <v>134.96</v>
      </c>
      <c r="F39" s="25"/>
      <c r="G39" s="24">
        <v>135.82</v>
      </c>
      <c r="H39" s="26"/>
      <c r="I39" s="122">
        <v>136.69999999999999</v>
      </c>
      <c r="J39" s="122"/>
      <c r="K39" s="122">
        <f t="shared" si="5"/>
        <v>446.4</v>
      </c>
      <c r="M39" s="126">
        <f t="shared" si="6"/>
        <v>2.2655449890270667</v>
      </c>
      <c r="O39" s="122">
        <f t="shared" si="4"/>
        <v>184.59</v>
      </c>
      <c r="Q39" s="126">
        <f t="shared" si="7"/>
        <v>0.35032918800292623</v>
      </c>
    </row>
    <row r="40" spans="1:17">
      <c r="A40" s="19">
        <v>22</v>
      </c>
      <c r="B40" s="19">
        <v>68016</v>
      </c>
      <c r="C40" s="29" t="s">
        <v>31</v>
      </c>
      <c r="D40" s="30"/>
      <c r="E40" s="24">
        <v>210.88</v>
      </c>
      <c r="F40" s="25"/>
      <c r="G40" s="24">
        <v>212.32</v>
      </c>
      <c r="H40" s="26"/>
      <c r="I40" s="122">
        <v>213.61</v>
      </c>
      <c r="J40" s="122"/>
      <c r="K40" s="122">
        <f t="shared" si="5"/>
        <v>697.5</v>
      </c>
      <c r="M40" s="126">
        <f t="shared" si="6"/>
        <v>2.26529656851271</v>
      </c>
      <c r="O40" s="122">
        <f t="shared" si="4"/>
        <v>288.43</v>
      </c>
      <c r="Q40" s="126">
        <f t="shared" si="7"/>
        <v>0.35026450072562132</v>
      </c>
    </row>
    <row r="41" spans="1:17">
      <c r="A41" s="19">
        <v>23</v>
      </c>
      <c r="B41" s="19">
        <v>68017</v>
      </c>
      <c r="C41" s="29" t="s">
        <v>32</v>
      </c>
      <c r="D41" s="30"/>
      <c r="E41" s="24">
        <v>421.77</v>
      </c>
      <c r="F41" s="25"/>
      <c r="G41" s="24">
        <v>424.47</v>
      </c>
      <c r="H41" s="26"/>
      <c r="I41" s="122">
        <v>427.23</v>
      </c>
      <c r="J41" s="122"/>
      <c r="K41" s="122">
        <f t="shared" si="5"/>
        <v>1395.13</v>
      </c>
      <c r="M41" s="126">
        <f t="shared" si="6"/>
        <v>2.2655244247829041</v>
      </c>
      <c r="O41" s="122">
        <f t="shared" si="4"/>
        <v>576.86</v>
      </c>
      <c r="Q41" s="126">
        <f t="shared" si="7"/>
        <v>0.35023289562998849</v>
      </c>
    </row>
    <row r="42" spans="1:17">
      <c r="A42" s="19">
        <v>24</v>
      </c>
      <c r="B42" s="19">
        <v>68018</v>
      </c>
      <c r="C42" s="22"/>
      <c r="D42" s="30"/>
      <c r="E42" s="26"/>
      <c r="F42" s="25"/>
      <c r="G42" s="26"/>
      <c r="H42" s="26"/>
      <c r="I42" s="122"/>
      <c r="J42" s="122"/>
      <c r="K42" s="122"/>
      <c r="M42" s="126"/>
      <c r="O42" s="122"/>
      <c r="Q42" s="126"/>
    </row>
    <row r="43" spans="1:17">
      <c r="A43" s="19">
        <v>25</v>
      </c>
      <c r="B43" s="19"/>
      <c r="C43" s="33" t="s">
        <v>33</v>
      </c>
      <c r="E43" s="34">
        <v>3.91</v>
      </c>
      <c r="F43" s="46"/>
      <c r="G43" s="34">
        <v>3.94</v>
      </c>
      <c r="H43" s="47"/>
      <c r="I43" s="122">
        <v>3.97</v>
      </c>
      <c r="J43" s="122"/>
      <c r="K43" s="122">
        <v>12.96</v>
      </c>
      <c r="M43" s="126">
        <f>+K43/I43-1</f>
        <v>2.2644836272040303</v>
      </c>
      <c r="O43" s="122">
        <f>+'Water Rate Design'!I45</f>
        <v>2.98</v>
      </c>
      <c r="Q43" s="126">
        <f>+O43/I43-1</f>
        <v>-0.24937027707808568</v>
      </c>
    </row>
    <row r="44" spans="1:17">
      <c r="A44" s="19"/>
      <c r="B44" s="19"/>
      <c r="C44" s="3"/>
      <c r="J44" s="27"/>
      <c r="K44" s="27"/>
      <c r="M44" s="126"/>
      <c r="O44" s="122"/>
    </row>
    <row r="45" spans="1:17">
      <c r="A45" s="19"/>
      <c r="C45" s="3"/>
      <c r="E45" s="36"/>
      <c r="F45" s="36"/>
      <c r="G45" s="36"/>
      <c r="H45" s="36"/>
      <c r="I45" s="36"/>
      <c r="J45" s="27"/>
      <c r="K45" s="27"/>
    </row>
    <row r="46" spans="1:17">
      <c r="A46" s="12"/>
      <c r="B46" s="12"/>
      <c r="C46" s="29"/>
      <c r="D46" s="48"/>
      <c r="J46" s="21"/>
      <c r="K46" s="21"/>
    </row>
    <row r="47" spans="1:17">
      <c r="A47" s="12"/>
      <c r="B47" s="12"/>
      <c r="C47" s="29"/>
      <c r="J47" s="21"/>
      <c r="K47" s="21"/>
    </row>
    <row r="48" spans="1:17">
      <c r="A48" s="12"/>
      <c r="B48" s="12"/>
      <c r="C48" s="29"/>
      <c r="I48" s="49"/>
      <c r="J48" s="21"/>
      <c r="K48" s="21"/>
    </row>
    <row r="49" spans="1:11">
      <c r="A49" s="12"/>
      <c r="B49" s="12"/>
      <c r="C49" s="29"/>
      <c r="E49" s="50"/>
      <c r="F49" s="50"/>
      <c r="G49" s="50"/>
      <c r="H49" s="50"/>
      <c r="I49" s="51"/>
      <c r="J49" s="51"/>
      <c r="K49" s="51"/>
    </row>
    <row r="50" spans="1:11">
      <c r="A50" s="12"/>
      <c r="B50" s="12"/>
      <c r="C50" s="29"/>
      <c r="I50" s="21"/>
      <c r="J50" s="21"/>
      <c r="K50" s="21"/>
    </row>
    <row r="51" spans="1:11">
      <c r="A51" s="12"/>
      <c r="B51" s="12"/>
      <c r="C51" s="52"/>
      <c r="I51" s="21"/>
      <c r="J51" s="21"/>
      <c r="K51" s="21"/>
    </row>
    <row r="52" spans="1:11">
      <c r="A52" s="12"/>
      <c r="B52" s="12"/>
      <c r="C52" s="52"/>
      <c r="I52" s="21"/>
      <c r="J52" s="21"/>
      <c r="K52" s="21"/>
    </row>
    <row r="53" spans="1:11">
      <c r="A53" s="12"/>
      <c r="B53" s="12"/>
      <c r="C53" s="53"/>
      <c r="I53" s="21"/>
      <c r="J53" s="21"/>
      <c r="K53" s="21"/>
    </row>
    <row r="54" spans="1:11">
      <c r="A54" s="12"/>
      <c r="B54" s="12"/>
      <c r="C54" s="29"/>
      <c r="I54" s="21"/>
      <c r="J54" s="21"/>
      <c r="K54" s="21"/>
    </row>
    <row r="55" spans="1:11">
      <c r="A55" s="12"/>
      <c r="B55" s="12"/>
      <c r="C55" s="29"/>
      <c r="I55" s="21"/>
      <c r="J55" s="21"/>
      <c r="K55" s="21"/>
    </row>
    <row r="56" spans="1:11">
      <c r="A56" s="12"/>
      <c r="B56" s="12"/>
      <c r="C56" s="29"/>
      <c r="I56" s="21"/>
      <c r="J56" s="21"/>
      <c r="K56" s="21"/>
    </row>
    <row r="57" spans="1:11">
      <c r="A57" s="12"/>
      <c r="B57" s="12"/>
      <c r="C57" s="29"/>
      <c r="I57" s="21"/>
      <c r="J57" s="21"/>
      <c r="K57" s="21"/>
    </row>
    <row r="58" spans="1:11">
      <c r="A58" s="12"/>
      <c r="B58" s="12"/>
      <c r="C58" s="29"/>
      <c r="I58" s="21"/>
      <c r="J58" s="21"/>
      <c r="K58" s="21"/>
    </row>
    <row r="59" spans="1:11">
      <c r="A59" s="12"/>
      <c r="B59" s="12"/>
      <c r="C59" s="29"/>
      <c r="I59" s="21"/>
      <c r="J59" s="21"/>
      <c r="K59" s="21"/>
    </row>
    <row r="60" spans="1:11">
      <c r="A60" s="12"/>
      <c r="B60" s="12"/>
      <c r="C60" s="29"/>
      <c r="I60" s="21"/>
      <c r="J60" s="21"/>
      <c r="K60" s="21"/>
    </row>
    <row r="61" spans="1:11">
      <c r="A61" s="12"/>
      <c r="B61" s="12"/>
      <c r="C61" s="41"/>
      <c r="I61" s="21"/>
      <c r="J61" s="21"/>
      <c r="K61" s="21"/>
    </row>
    <row r="62" spans="1:11">
      <c r="A62" s="12"/>
      <c r="B62" s="12"/>
      <c r="C62" s="29"/>
      <c r="I62" s="21"/>
      <c r="J62" s="21"/>
      <c r="K62" s="21"/>
    </row>
    <row r="63" spans="1:11">
      <c r="A63" s="12"/>
      <c r="B63" s="12"/>
      <c r="C63" s="29"/>
      <c r="I63" s="21"/>
      <c r="J63" s="21"/>
      <c r="K63" s="21"/>
    </row>
    <row r="64" spans="1:11">
      <c r="A64" s="12"/>
      <c r="B64" s="12"/>
      <c r="C64" s="29"/>
      <c r="I64" s="21"/>
      <c r="J64" s="21"/>
      <c r="K64" s="21"/>
    </row>
    <row r="65" spans="1:11">
      <c r="A65" s="12"/>
      <c r="B65" s="12"/>
      <c r="C65" s="29"/>
      <c r="I65" s="21"/>
      <c r="J65" s="21"/>
      <c r="K65" s="21"/>
    </row>
    <row r="66" spans="1:11">
      <c r="A66" s="12"/>
      <c r="B66" s="12"/>
      <c r="C66" s="29"/>
      <c r="I66" s="21"/>
      <c r="J66" s="21"/>
      <c r="K66" s="21"/>
    </row>
    <row r="67" spans="1:11">
      <c r="A67" s="12"/>
      <c r="B67" s="12"/>
      <c r="C67" s="29"/>
      <c r="I67" s="21"/>
      <c r="J67" s="21"/>
      <c r="K67" s="21"/>
    </row>
    <row r="68" spans="1:11">
      <c r="A68" s="12"/>
      <c r="B68" s="12"/>
      <c r="C68" s="29"/>
    </row>
    <row r="105" spans="9:9">
      <c r="I105" s="54"/>
    </row>
    <row r="108" spans="9:9">
      <c r="I108" s="54"/>
    </row>
    <row r="231" spans="1:8">
      <c r="E231" s="55"/>
      <c r="F231" s="55"/>
      <c r="G231" s="55"/>
      <c r="H231" s="55"/>
    </row>
    <row r="232" spans="1:8">
      <c r="E232" s="55"/>
      <c r="F232" s="55"/>
      <c r="G232" s="55"/>
      <c r="H232" s="55"/>
    </row>
    <row r="233" spans="1:8">
      <c r="E233" s="55"/>
      <c r="F233" s="55"/>
      <c r="G233" s="55"/>
      <c r="H233" s="55"/>
    </row>
    <row r="234" spans="1:8">
      <c r="A234" s="55"/>
      <c r="B234" s="55"/>
      <c r="C234" s="56"/>
      <c r="D234" s="55"/>
      <c r="E234" s="55"/>
      <c r="F234" s="55"/>
      <c r="G234" s="55"/>
      <c r="H234" s="55"/>
    </row>
    <row r="235" spans="1:8">
      <c r="A235" s="55"/>
      <c r="B235" s="55"/>
      <c r="C235" s="56"/>
      <c r="D235" s="55"/>
      <c r="E235" s="55"/>
      <c r="F235" s="55"/>
      <c r="G235" s="55"/>
      <c r="H235" s="55"/>
    </row>
    <row r="236" spans="1:8">
      <c r="A236" s="55"/>
      <c r="B236" s="55"/>
      <c r="C236" s="56"/>
      <c r="D236" s="55"/>
    </row>
    <row r="237" spans="1:8">
      <c r="A237" s="55"/>
      <c r="B237" s="55"/>
      <c r="C237" s="56"/>
      <c r="D237" s="55"/>
    </row>
    <row r="238" spans="1:8">
      <c r="A238" s="55"/>
      <c r="B238" s="55"/>
      <c r="C238" s="56"/>
      <c r="D238" s="55"/>
    </row>
    <row r="265" spans="1:8">
      <c r="E265" s="55"/>
      <c r="F265" s="55"/>
      <c r="G265" s="55"/>
      <c r="H265" s="55"/>
    </row>
    <row r="268" spans="1:8">
      <c r="A268" s="55"/>
      <c r="B268" s="55"/>
      <c r="C268" s="56"/>
      <c r="D268" s="55"/>
    </row>
    <row r="337" spans="1:2">
      <c r="A337" s="1"/>
      <c r="B337" s="1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  <row r="408" spans="1:2">
      <c r="A408" s="55"/>
      <c r="B408" s="5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4"/>
  <sheetViews>
    <sheetView topLeftCell="A10" workbookViewId="0">
      <selection activeCell="K22" sqref="K22"/>
    </sheetView>
  </sheetViews>
  <sheetFormatPr defaultColWidth="10.85546875" defaultRowHeight="12"/>
  <cols>
    <col min="1" max="1" width="6.85546875" style="3" customWidth="1"/>
    <col min="2" max="2" width="8.42578125" style="3" hidden="1" customWidth="1"/>
    <col min="3" max="3" width="29" style="28" customWidth="1"/>
    <col min="4" max="4" width="1.7109375" style="3" customWidth="1"/>
    <col min="5" max="5" width="10.7109375" style="3" hidden="1" customWidth="1"/>
    <col min="6" max="6" width="1.7109375" style="3" hidden="1" customWidth="1"/>
    <col min="7" max="7" width="10.7109375" style="3" hidden="1" customWidth="1"/>
    <col min="8" max="8" width="1.7109375" style="3" hidden="1" customWidth="1"/>
    <col min="9" max="9" width="10.7109375" style="3" customWidth="1"/>
    <col min="10" max="10" width="2.7109375" style="3" customWidth="1"/>
    <col min="11" max="11" width="11.85546875" style="3" customWidth="1"/>
    <col min="12" max="12" width="1.7109375" style="3" customWidth="1"/>
    <col min="13" max="13" width="10.85546875" style="3"/>
    <col min="14" max="14" width="1.7109375" style="3" customWidth="1"/>
    <col min="15" max="15" width="10.85546875" style="3"/>
    <col min="16" max="16" width="1.7109375" style="3" customWidth="1"/>
    <col min="17" max="17" width="10.85546875" style="3"/>
    <col min="18" max="18" width="1.7109375" style="3" customWidth="1"/>
    <col min="19" max="16384" width="10.85546875" style="3"/>
  </cols>
  <sheetData>
    <row r="1" spans="1:17">
      <c r="A1" s="1" t="s">
        <v>0</v>
      </c>
      <c r="B1" s="1"/>
      <c r="C1" s="2"/>
      <c r="E1" s="1"/>
      <c r="F1" s="1"/>
      <c r="G1" s="1"/>
      <c r="H1" s="1"/>
      <c r="I1" s="4" t="s">
        <v>1</v>
      </c>
      <c r="K1" s="4"/>
    </row>
    <row r="2" spans="1:17">
      <c r="A2" s="1"/>
      <c r="B2" s="1"/>
      <c r="C2" s="2"/>
      <c r="E2" s="1"/>
      <c r="F2" s="1"/>
      <c r="G2" s="1"/>
      <c r="H2" s="1"/>
      <c r="I2" s="4"/>
      <c r="K2" s="4"/>
    </row>
    <row r="3" spans="1:17">
      <c r="A3" s="1" t="s">
        <v>76</v>
      </c>
      <c r="B3" s="1"/>
      <c r="C3" s="2"/>
      <c r="E3" s="1"/>
      <c r="F3" s="1"/>
      <c r="G3" s="1"/>
      <c r="H3" s="1"/>
      <c r="I3" s="4"/>
      <c r="K3" s="4"/>
    </row>
    <row r="4" spans="1:17">
      <c r="A4" s="1" t="s">
        <v>4</v>
      </c>
      <c r="B4" s="1"/>
      <c r="C4" s="2"/>
      <c r="E4" s="1"/>
      <c r="F4" s="1"/>
      <c r="G4" s="1"/>
      <c r="H4" s="1"/>
      <c r="I4" s="5"/>
      <c r="K4" s="4"/>
    </row>
    <row r="5" spans="1:17">
      <c r="A5" s="1" t="s">
        <v>6</v>
      </c>
      <c r="B5" s="1"/>
      <c r="C5" s="2"/>
      <c r="E5" s="1"/>
      <c r="F5" s="1"/>
      <c r="G5" s="1"/>
      <c r="H5" s="1"/>
      <c r="I5" s="4"/>
      <c r="K5" s="4"/>
    </row>
    <row r="6" spans="1:17">
      <c r="A6" s="1" t="s">
        <v>8</v>
      </c>
      <c r="B6" s="1"/>
      <c r="C6" s="2"/>
      <c r="D6" s="1"/>
      <c r="E6" s="1"/>
      <c r="F6" s="1"/>
      <c r="G6" s="1"/>
      <c r="H6" s="1"/>
      <c r="I6" s="4"/>
      <c r="J6" s="4"/>
      <c r="K6" s="4"/>
    </row>
    <row r="7" spans="1:17">
      <c r="A7" s="1" t="s">
        <v>9</v>
      </c>
      <c r="B7" s="1"/>
      <c r="C7" s="2"/>
      <c r="D7" s="1"/>
      <c r="E7" s="1"/>
      <c r="F7" s="1"/>
      <c r="G7" s="1"/>
      <c r="H7" s="1"/>
      <c r="I7" s="1"/>
      <c r="J7" s="1"/>
      <c r="K7" s="1"/>
    </row>
    <row r="8" spans="1:17">
      <c r="A8" s="6" t="s">
        <v>10</v>
      </c>
      <c r="B8" s="6"/>
      <c r="C8" s="2"/>
      <c r="D8" s="1"/>
      <c r="E8" s="1"/>
      <c r="F8" s="1"/>
      <c r="G8" s="1"/>
      <c r="H8" s="1"/>
      <c r="I8" s="1"/>
      <c r="J8" s="1"/>
      <c r="K8" s="1"/>
    </row>
    <row r="9" spans="1:17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>
      <c r="A10" s="9"/>
      <c r="B10" s="10" t="s">
        <v>11</v>
      </c>
      <c r="C10" s="11"/>
      <c r="D10" s="12"/>
      <c r="E10" s="11"/>
      <c r="G10" s="11"/>
      <c r="H10" s="13"/>
      <c r="I10" s="11"/>
      <c r="K10" s="11"/>
      <c r="L10" s="11"/>
      <c r="M10" s="11"/>
      <c r="N10" s="11"/>
      <c r="O10" s="11"/>
      <c r="Q10" s="11"/>
    </row>
    <row r="11" spans="1:17">
      <c r="C11" s="2"/>
      <c r="D11" s="1"/>
      <c r="E11" s="12" t="s">
        <v>12</v>
      </c>
      <c r="F11" s="1"/>
      <c r="G11" s="12" t="s">
        <v>12</v>
      </c>
      <c r="H11" s="1"/>
      <c r="J11" s="12"/>
      <c r="K11" s="12"/>
      <c r="L11" s="12"/>
      <c r="M11" s="12" t="s">
        <v>184</v>
      </c>
      <c r="O11" s="12" t="s">
        <v>183</v>
      </c>
      <c r="Q11" s="12" t="s">
        <v>184</v>
      </c>
    </row>
    <row r="12" spans="1:17">
      <c r="A12" s="12" t="s">
        <v>14</v>
      </c>
      <c r="B12" s="12" t="s">
        <v>15</v>
      </c>
      <c r="C12" s="2"/>
      <c r="D12" s="1"/>
      <c r="E12" s="12" t="s">
        <v>16</v>
      </c>
      <c r="F12" s="1"/>
      <c r="G12" s="12" t="s">
        <v>16</v>
      </c>
      <c r="H12" s="1"/>
      <c r="I12" s="12" t="s">
        <v>13</v>
      </c>
      <c r="J12" s="12"/>
      <c r="K12" s="12" t="s">
        <v>18</v>
      </c>
      <c r="L12" s="12"/>
      <c r="M12" s="12" t="s">
        <v>185</v>
      </c>
      <c r="O12" s="12" t="s">
        <v>182</v>
      </c>
      <c r="Q12" s="12" t="s">
        <v>185</v>
      </c>
    </row>
    <row r="13" spans="1:17" ht="14.25">
      <c r="A13" s="14" t="s">
        <v>19</v>
      </c>
      <c r="B13" s="14" t="s">
        <v>20</v>
      </c>
      <c r="C13" s="15" t="s">
        <v>21</v>
      </c>
      <c r="D13" s="16"/>
      <c r="E13" s="68" t="s">
        <v>70</v>
      </c>
      <c r="F13" s="69"/>
      <c r="G13" s="68" t="s">
        <v>71</v>
      </c>
      <c r="H13" s="68"/>
      <c r="I13" s="130" t="s">
        <v>17</v>
      </c>
      <c r="J13" s="18"/>
      <c r="K13" s="14" t="s">
        <v>17</v>
      </c>
      <c r="L13" s="124"/>
      <c r="M13" s="125" t="s">
        <v>186</v>
      </c>
      <c r="O13" s="14" t="s">
        <v>17</v>
      </c>
      <c r="Q13" s="14" t="s">
        <v>186</v>
      </c>
    </row>
    <row r="14" spans="1:17">
      <c r="A14" s="19">
        <v>1</v>
      </c>
      <c r="B14" s="19"/>
      <c r="C14" s="20" t="s">
        <v>24</v>
      </c>
      <c r="I14" s="21"/>
      <c r="J14" s="21"/>
      <c r="K14" s="21"/>
    </row>
    <row r="15" spans="1:17">
      <c r="A15" s="19">
        <v>2</v>
      </c>
      <c r="B15" s="19">
        <v>68001</v>
      </c>
      <c r="C15" s="22" t="s">
        <v>25</v>
      </c>
      <c r="D15" s="23"/>
      <c r="E15" s="24">
        <v>11.72</v>
      </c>
      <c r="F15" s="25"/>
      <c r="G15" s="24">
        <v>11.81</v>
      </c>
      <c r="H15" s="26"/>
      <c r="I15" s="122">
        <v>11.81</v>
      </c>
      <c r="J15" s="27"/>
      <c r="K15" s="122">
        <v>16.21</v>
      </c>
      <c r="M15" s="126">
        <f t="shared" ref="M15:M22" si="0">+K15/I15-1</f>
        <v>0.37256562235393731</v>
      </c>
      <c r="O15" s="122">
        <f>+'Water Rate Design'!I9</f>
        <v>11.54</v>
      </c>
      <c r="Q15" s="126">
        <f t="shared" ref="Q15:Q22" si="1">+O15/I15-1</f>
        <v>-2.286198137171902E-2</v>
      </c>
    </row>
    <row r="16" spans="1:17">
      <c r="A16" s="19">
        <v>3</v>
      </c>
      <c r="B16" s="19">
        <v>68002</v>
      </c>
      <c r="C16" s="28" t="s">
        <v>26</v>
      </c>
      <c r="D16" s="23"/>
      <c r="E16" s="24">
        <v>17.579999999999998</v>
      </c>
      <c r="F16" s="25"/>
      <c r="G16" s="24">
        <v>17.72</v>
      </c>
      <c r="H16" s="26"/>
      <c r="I16" s="122">
        <v>17.72</v>
      </c>
      <c r="J16" s="27"/>
      <c r="K16" s="122">
        <f>ROUND(K15/I15*I16,2)</f>
        <v>24.32</v>
      </c>
      <c r="M16" s="126">
        <f t="shared" si="0"/>
        <v>0.3724604966139955</v>
      </c>
      <c r="O16" s="122">
        <f>+'Water Rate Design'!I10</f>
        <v>17.309999999999999</v>
      </c>
      <c r="Q16" s="126">
        <f t="shared" si="1"/>
        <v>-2.3137697516930067E-2</v>
      </c>
    </row>
    <row r="17" spans="1:17">
      <c r="A17" s="19">
        <v>4</v>
      </c>
      <c r="B17" s="19">
        <v>68003</v>
      </c>
      <c r="C17" s="29" t="s">
        <v>27</v>
      </c>
      <c r="D17" s="30"/>
      <c r="E17" s="24">
        <v>29.3</v>
      </c>
      <c r="F17" s="25"/>
      <c r="G17" s="24">
        <v>29.53</v>
      </c>
      <c r="H17" s="26"/>
      <c r="I17" s="122">
        <v>29.53</v>
      </c>
      <c r="J17" s="31"/>
      <c r="K17" s="122">
        <v>40.520000000000003</v>
      </c>
      <c r="M17" s="126">
        <f t="shared" si="0"/>
        <v>0.37216390111750774</v>
      </c>
      <c r="O17" s="122">
        <f>+'Water Rate Design'!I11</f>
        <v>28.84</v>
      </c>
      <c r="Q17" s="126">
        <f t="shared" si="1"/>
        <v>-2.3366068405011875E-2</v>
      </c>
    </row>
    <row r="18" spans="1:17">
      <c r="A18" s="19">
        <v>5</v>
      </c>
      <c r="B18" s="19">
        <v>68004</v>
      </c>
      <c r="C18" s="29" t="s">
        <v>28</v>
      </c>
      <c r="D18" s="30"/>
      <c r="E18" s="24">
        <v>58.58</v>
      </c>
      <c r="F18" s="25"/>
      <c r="G18" s="24">
        <v>59.03</v>
      </c>
      <c r="H18" s="26"/>
      <c r="I18" s="122">
        <v>59.03</v>
      </c>
      <c r="J18" s="27"/>
      <c r="K18" s="122">
        <f t="shared" ref="K18:K21" si="2">ROUND(K17/I17*I18,2)</f>
        <v>81</v>
      </c>
      <c r="M18" s="126">
        <f t="shared" si="0"/>
        <v>0.37218363543960686</v>
      </c>
      <c r="O18" s="122">
        <f>+'Water Rate Design'!I12</f>
        <v>57.69</v>
      </c>
      <c r="Q18" s="126">
        <f t="shared" si="1"/>
        <v>-2.2700321870235518E-2</v>
      </c>
    </row>
    <row r="19" spans="1:17">
      <c r="A19" s="19">
        <v>6</v>
      </c>
      <c r="B19" s="19"/>
      <c r="C19" s="29" t="s">
        <v>29</v>
      </c>
      <c r="D19" s="30"/>
      <c r="E19" s="24">
        <v>93.73</v>
      </c>
      <c r="F19" s="25"/>
      <c r="G19" s="24">
        <v>94.45</v>
      </c>
      <c r="H19" s="26"/>
      <c r="I19" s="122">
        <v>94.45</v>
      </c>
      <c r="J19" s="27"/>
      <c r="K19" s="122">
        <f t="shared" si="2"/>
        <v>129.6</v>
      </c>
      <c r="M19" s="126">
        <f t="shared" si="0"/>
        <v>0.37215457914240324</v>
      </c>
      <c r="O19" s="122">
        <f>+'Water Rate Design'!I13</f>
        <v>92.3</v>
      </c>
      <c r="Q19" s="126">
        <f t="shared" si="1"/>
        <v>-2.276336686077296E-2</v>
      </c>
    </row>
    <row r="20" spans="1:17">
      <c r="A20" s="19">
        <v>7</v>
      </c>
      <c r="B20" s="19"/>
      <c r="C20" s="29" t="s">
        <v>30</v>
      </c>
      <c r="D20" s="30"/>
      <c r="E20" s="24">
        <v>187.46</v>
      </c>
      <c r="F20" s="25"/>
      <c r="G20" s="24">
        <v>188.9</v>
      </c>
      <c r="H20" s="26"/>
      <c r="I20" s="122">
        <v>188.9</v>
      </c>
      <c r="J20" s="27"/>
      <c r="K20" s="122">
        <v>259.20999999999998</v>
      </c>
      <c r="M20" s="126">
        <f t="shared" si="0"/>
        <v>0.37220751720487022</v>
      </c>
      <c r="O20" s="122">
        <f>+'Water Rate Design'!I14</f>
        <v>184.59</v>
      </c>
      <c r="Q20" s="126">
        <f t="shared" si="1"/>
        <v>-2.2816304923239827E-2</v>
      </c>
    </row>
    <row r="21" spans="1:17">
      <c r="A21" s="19">
        <v>8</v>
      </c>
      <c r="B21" s="19"/>
      <c r="C21" s="29" t="s">
        <v>31</v>
      </c>
      <c r="D21" s="30"/>
      <c r="E21" s="24">
        <v>292.91000000000003</v>
      </c>
      <c r="F21" s="25"/>
      <c r="G21" s="24">
        <v>295.17</v>
      </c>
      <c r="H21" s="26"/>
      <c r="I21" s="122">
        <v>295.17</v>
      </c>
      <c r="J21" s="27"/>
      <c r="K21" s="122">
        <f t="shared" si="2"/>
        <v>405.03</v>
      </c>
      <c r="M21" s="126">
        <f t="shared" si="0"/>
        <v>0.372192295965037</v>
      </c>
      <c r="O21" s="122">
        <f>+'Water Rate Design'!I15</f>
        <v>288.43</v>
      </c>
      <c r="Q21" s="126">
        <f t="shared" si="1"/>
        <v>-2.2834298878612325E-2</v>
      </c>
    </row>
    <row r="22" spans="1:17">
      <c r="A22" s="19">
        <v>9</v>
      </c>
      <c r="B22" s="19"/>
      <c r="C22" s="29" t="s">
        <v>32</v>
      </c>
      <c r="D22" s="30"/>
      <c r="E22" s="24">
        <v>585.82000000000005</v>
      </c>
      <c r="F22" s="25"/>
      <c r="G22" s="24">
        <v>590.33000000000004</v>
      </c>
      <c r="H22" s="26"/>
      <c r="I22" s="122">
        <v>590.33000000000004</v>
      </c>
      <c r="J22" s="27"/>
      <c r="K22" s="122">
        <f>ROUND(K21/I21*I22,2)</f>
        <v>810.05</v>
      </c>
      <c r="M22" s="126">
        <f t="shared" si="0"/>
        <v>0.37219860078261302</v>
      </c>
      <c r="O22" s="122">
        <f>+'Water Rate Design'!I16</f>
        <v>576.86</v>
      </c>
      <c r="Q22" s="126">
        <f t="shared" si="1"/>
        <v>-2.2817746006471018E-2</v>
      </c>
    </row>
    <row r="23" spans="1:17">
      <c r="A23" s="19">
        <v>10</v>
      </c>
      <c r="B23" s="19"/>
      <c r="C23" s="22"/>
      <c r="D23" s="30"/>
      <c r="E23" s="25"/>
      <c r="F23" s="25"/>
      <c r="G23" s="26"/>
      <c r="H23" s="26"/>
      <c r="J23" s="27"/>
      <c r="M23" s="126"/>
    </row>
    <row r="24" spans="1:17">
      <c r="A24" s="19">
        <v>11</v>
      </c>
      <c r="B24" s="19"/>
      <c r="C24" s="33" t="s">
        <v>33</v>
      </c>
      <c r="D24" s="30"/>
      <c r="E24" s="34">
        <v>5.41</v>
      </c>
      <c r="F24" s="25"/>
      <c r="G24" s="34">
        <v>5.45</v>
      </c>
      <c r="H24" s="25"/>
      <c r="I24" s="122">
        <v>5.45</v>
      </c>
      <c r="J24" s="27"/>
      <c r="K24" s="122">
        <v>7.48</v>
      </c>
      <c r="M24" s="126">
        <f>+K24/I24-1</f>
        <v>0.37247706422018356</v>
      </c>
    </row>
    <row r="25" spans="1:17">
      <c r="A25" s="19"/>
      <c r="B25" s="19"/>
      <c r="C25" s="33" t="str">
        <f>+'Water Rate Design'!B40</f>
        <v>0-8k</v>
      </c>
      <c r="D25" s="30"/>
      <c r="E25" s="34"/>
      <c r="F25" s="25"/>
      <c r="G25" s="34"/>
      <c r="H25" s="25"/>
      <c r="I25" s="122"/>
      <c r="J25" s="31"/>
      <c r="K25" s="122"/>
      <c r="M25" s="126"/>
      <c r="O25" s="122">
        <f>+'Water Rate Design'!I40</f>
        <v>1.97</v>
      </c>
      <c r="Q25" s="126">
        <f>O25/I$24-1</f>
        <v>-0.63853211009174315</v>
      </c>
    </row>
    <row r="26" spans="1:17">
      <c r="A26" s="19"/>
      <c r="B26" s="19"/>
      <c r="C26" s="33" t="str">
        <f>+'Water Rate Design'!B41</f>
        <v>8-16k</v>
      </c>
      <c r="D26" s="30"/>
      <c r="E26" s="34"/>
      <c r="F26" s="25"/>
      <c r="G26" s="34"/>
      <c r="H26" s="25"/>
      <c r="I26" s="122"/>
      <c r="J26" s="31"/>
      <c r="K26" s="122"/>
      <c r="M26" s="126"/>
      <c r="O26" s="122">
        <f>+'Water Rate Design'!I41</f>
        <v>2.95</v>
      </c>
      <c r="Q26" s="126">
        <f t="shared" ref="Q26:Q27" si="3">O26/I$24-1</f>
        <v>-0.45871559633027525</v>
      </c>
    </row>
    <row r="27" spans="1:17">
      <c r="A27" s="19"/>
      <c r="B27" s="19"/>
      <c r="C27" s="33" t="str">
        <f>+'Water Rate Design'!B42</f>
        <v>+16k</v>
      </c>
      <c r="D27" s="30"/>
      <c r="E27" s="34"/>
      <c r="F27" s="25"/>
      <c r="G27" s="34"/>
      <c r="H27" s="25"/>
      <c r="I27" s="122"/>
      <c r="J27" s="31"/>
      <c r="K27" s="122"/>
      <c r="M27" s="126"/>
      <c r="O27" s="122">
        <f>+'Water Rate Design'!I42</f>
        <v>3.93</v>
      </c>
      <c r="Q27" s="126">
        <f t="shared" si="3"/>
        <v>-0.27889908256880735</v>
      </c>
    </row>
    <row r="28" spans="1:17">
      <c r="A28" s="19">
        <v>12</v>
      </c>
      <c r="B28" s="19"/>
      <c r="C28" s="38"/>
      <c r="D28" s="30"/>
      <c r="E28" s="35"/>
      <c r="F28" s="35"/>
      <c r="G28" s="39"/>
      <c r="H28" s="40"/>
      <c r="J28" s="27"/>
      <c r="M28" s="126"/>
    </row>
    <row r="29" spans="1:17">
      <c r="A29" s="19">
        <v>13</v>
      </c>
      <c r="B29" s="19"/>
      <c r="C29" s="41" t="s">
        <v>37</v>
      </c>
      <c r="D29" s="42"/>
      <c r="E29" s="43"/>
      <c r="F29" s="43"/>
      <c r="G29" s="43"/>
      <c r="H29" s="44"/>
      <c r="J29" s="27"/>
      <c r="M29" s="126"/>
    </row>
    <row r="30" spans="1:17">
      <c r="A30" s="19">
        <v>14</v>
      </c>
      <c r="B30" s="19">
        <v>68006</v>
      </c>
      <c r="C30" s="22" t="s">
        <v>38</v>
      </c>
      <c r="D30" s="23"/>
      <c r="E30" s="24">
        <v>11.72</v>
      </c>
      <c r="F30" s="25"/>
      <c r="G30" s="24">
        <v>11.81</v>
      </c>
      <c r="H30" s="26"/>
      <c r="I30" s="122">
        <v>11.81</v>
      </c>
      <c r="J30" s="27"/>
      <c r="K30" s="122">
        <f>+K15</f>
        <v>16.21</v>
      </c>
      <c r="M30" s="126">
        <f t="shared" ref="M30:M37" si="4">+K30/I30-1</f>
        <v>0.37256562235393731</v>
      </c>
      <c r="O30" s="122">
        <f>+O15</f>
        <v>11.54</v>
      </c>
      <c r="Q30" s="126">
        <f t="shared" ref="Q30:Q37" si="5">+O30/I30-1</f>
        <v>-2.286198137171902E-2</v>
      </c>
    </row>
    <row r="31" spans="1:17">
      <c r="A31" s="19">
        <v>15</v>
      </c>
      <c r="B31" s="19">
        <v>68006</v>
      </c>
      <c r="C31" s="45" t="s">
        <v>26</v>
      </c>
      <c r="D31" s="30"/>
      <c r="E31" s="24">
        <v>17.579999999999998</v>
      </c>
      <c r="F31" s="25"/>
      <c r="G31" s="24">
        <v>17.72</v>
      </c>
      <c r="H31" s="26"/>
      <c r="I31" s="122">
        <v>17.72</v>
      </c>
      <c r="J31" s="27"/>
      <c r="K31" s="122">
        <f t="shared" ref="K31:K37" si="6">+K16</f>
        <v>24.32</v>
      </c>
      <c r="M31" s="126">
        <f t="shared" si="4"/>
        <v>0.3724604966139955</v>
      </c>
      <c r="O31" s="122">
        <f t="shared" ref="O31:O37" si="7">+O16</f>
        <v>17.309999999999999</v>
      </c>
      <c r="Q31" s="126">
        <f t="shared" si="5"/>
        <v>-2.3137697516930067E-2</v>
      </c>
    </row>
    <row r="32" spans="1:17">
      <c r="A32" s="19">
        <v>16</v>
      </c>
      <c r="B32" s="19">
        <v>68007</v>
      </c>
      <c r="C32" s="29" t="s">
        <v>27</v>
      </c>
      <c r="D32" s="30"/>
      <c r="E32" s="24">
        <v>29.3</v>
      </c>
      <c r="F32" s="25"/>
      <c r="G32" s="24">
        <v>29.53</v>
      </c>
      <c r="H32" s="26"/>
      <c r="I32" s="122">
        <v>29.53</v>
      </c>
      <c r="J32" s="27"/>
      <c r="K32" s="122">
        <f t="shared" si="6"/>
        <v>40.520000000000003</v>
      </c>
      <c r="M32" s="126">
        <f t="shared" si="4"/>
        <v>0.37216390111750774</v>
      </c>
      <c r="O32" s="122">
        <f t="shared" si="7"/>
        <v>28.84</v>
      </c>
      <c r="Q32" s="126">
        <f t="shared" si="5"/>
        <v>-2.3366068405011875E-2</v>
      </c>
    </row>
    <row r="33" spans="1:17">
      <c r="A33" s="19">
        <v>17</v>
      </c>
      <c r="B33" s="19">
        <v>68008</v>
      </c>
      <c r="C33" s="29" t="s">
        <v>28</v>
      </c>
      <c r="D33" s="30"/>
      <c r="E33" s="24">
        <v>58.58</v>
      </c>
      <c r="F33" s="25"/>
      <c r="G33" s="24">
        <v>59.03</v>
      </c>
      <c r="H33" s="26"/>
      <c r="I33" s="122">
        <v>59.03</v>
      </c>
      <c r="J33" s="27"/>
      <c r="K33" s="122">
        <f t="shared" si="6"/>
        <v>81</v>
      </c>
      <c r="M33" s="126">
        <f t="shared" si="4"/>
        <v>0.37218363543960686</v>
      </c>
      <c r="O33" s="122">
        <f t="shared" si="7"/>
        <v>57.69</v>
      </c>
      <c r="Q33" s="126">
        <f t="shared" si="5"/>
        <v>-2.2700321870235518E-2</v>
      </c>
    </row>
    <row r="34" spans="1:17">
      <c r="A34" s="19">
        <v>18</v>
      </c>
      <c r="B34" s="19">
        <v>68009</v>
      </c>
      <c r="C34" s="29" t="s">
        <v>29</v>
      </c>
      <c r="D34" s="30"/>
      <c r="E34" s="24">
        <v>93.73</v>
      </c>
      <c r="F34" s="25"/>
      <c r="G34" s="24">
        <v>94.45</v>
      </c>
      <c r="H34" s="26"/>
      <c r="I34" s="122">
        <v>94.45</v>
      </c>
      <c r="J34" s="27"/>
      <c r="K34" s="122">
        <f t="shared" si="6"/>
        <v>129.6</v>
      </c>
      <c r="M34" s="126">
        <f t="shared" si="4"/>
        <v>0.37215457914240324</v>
      </c>
      <c r="O34" s="122">
        <f t="shared" si="7"/>
        <v>92.3</v>
      </c>
      <c r="Q34" s="126">
        <f t="shared" si="5"/>
        <v>-2.276336686077296E-2</v>
      </c>
    </row>
    <row r="35" spans="1:17">
      <c r="A35" s="19">
        <v>19</v>
      </c>
      <c r="B35" s="19">
        <v>68005</v>
      </c>
      <c r="C35" s="29" t="s">
        <v>30</v>
      </c>
      <c r="D35" s="30"/>
      <c r="E35" s="24">
        <v>187.46</v>
      </c>
      <c r="F35" s="25"/>
      <c r="G35" s="24">
        <v>188.9</v>
      </c>
      <c r="H35" s="26"/>
      <c r="I35" s="122">
        <v>188.9</v>
      </c>
      <c r="J35" s="27"/>
      <c r="K35" s="122">
        <f t="shared" si="6"/>
        <v>259.20999999999998</v>
      </c>
      <c r="M35" s="126">
        <f t="shared" si="4"/>
        <v>0.37220751720487022</v>
      </c>
      <c r="O35" s="122">
        <f t="shared" si="7"/>
        <v>184.59</v>
      </c>
      <c r="Q35" s="126">
        <f t="shared" si="5"/>
        <v>-2.2816304923239827E-2</v>
      </c>
    </row>
    <row r="36" spans="1:17">
      <c r="A36" s="19">
        <v>20</v>
      </c>
      <c r="B36" s="19">
        <v>68016</v>
      </c>
      <c r="C36" s="29" t="s">
        <v>31</v>
      </c>
      <c r="D36" s="30"/>
      <c r="E36" s="24">
        <v>292.91000000000003</v>
      </c>
      <c r="F36" s="25"/>
      <c r="G36" s="24">
        <v>295.17</v>
      </c>
      <c r="H36" s="26"/>
      <c r="I36" s="122">
        <v>295.17</v>
      </c>
      <c r="J36" s="31"/>
      <c r="K36" s="122">
        <f t="shared" si="6"/>
        <v>405.03</v>
      </c>
      <c r="M36" s="126">
        <f t="shared" si="4"/>
        <v>0.372192295965037</v>
      </c>
      <c r="O36" s="122">
        <f t="shared" si="7"/>
        <v>288.43</v>
      </c>
      <c r="Q36" s="126">
        <f t="shared" si="5"/>
        <v>-2.2834298878612325E-2</v>
      </c>
    </row>
    <row r="37" spans="1:17">
      <c r="A37" s="19">
        <v>21</v>
      </c>
      <c r="B37" s="19">
        <v>68017</v>
      </c>
      <c r="C37" s="29" t="s">
        <v>32</v>
      </c>
      <c r="D37" s="30"/>
      <c r="E37" s="24">
        <v>585.82000000000005</v>
      </c>
      <c r="F37" s="25"/>
      <c r="G37" s="24">
        <v>590.33000000000004</v>
      </c>
      <c r="H37" s="26"/>
      <c r="I37" s="122">
        <v>590.33000000000004</v>
      </c>
      <c r="J37" s="36"/>
      <c r="K37" s="122">
        <f t="shared" si="6"/>
        <v>810.05</v>
      </c>
      <c r="M37" s="126">
        <f t="shared" si="4"/>
        <v>0.37219860078261302</v>
      </c>
      <c r="O37" s="122">
        <f t="shared" si="7"/>
        <v>576.86</v>
      </c>
      <c r="Q37" s="126">
        <f t="shared" si="5"/>
        <v>-2.2817746006471018E-2</v>
      </c>
    </row>
    <row r="38" spans="1:17">
      <c r="A38" s="19">
        <v>22</v>
      </c>
      <c r="B38" s="19">
        <v>68018</v>
      </c>
      <c r="C38" s="22"/>
      <c r="D38" s="30"/>
      <c r="E38" s="26"/>
      <c r="F38" s="25"/>
      <c r="G38" s="26"/>
      <c r="H38" s="26"/>
      <c r="J38" s="36"/>
      <c r="M38" s="126"/>
    </row>
    <row r="39" spans="1:17">
      <c r="A39" s="19">
        <v>23</v>
      </c>
      <c r="B39" s="19"/>
      <c r="C39" s="33" t="s">
        <v>33</v>
      </c>
      <c r="E39" s="34">
        <v>5.41</v>
      </c>
      <c r="F39" s="46"/>
      <c r="G39" s="34">
        <v>5.45</v>
      </c>
      <c r="H39" s="47"/>
      <c r="I39" s="122">
        <v>5.45</v>
      </c>
      <c r="J39" s="27"/>
      <c r="K39" s="122">
        <f>+K24</f>
        <v>7.48</v>
      </c>
      <c r="M39" s="126">
        <f>+K39/I39-1</f>
        <v>0.37247706422018356</v>
      </c>
      <c r="O39" s="122">
        <f>+'Water Rate Design'!I45</f>
        <v>2.98</v>
      </c>
      <c r="Q39" s="126">
        <f>+O39/I39-1</f>
        <v>-0.4532110091743119</v>
      </c>
    </row>
    <row r="40" spans="1:17">
      <c r="A40" s="19"/>
      <c r="B40" s="19"/>
      <c r="C40" s="3"/>
      <c r="J40" s="27"/>
      <c r="K40" s="27"/>
    </row>
    <row r="41" spans="1:17">
      <c r="A41" s="19"/>
      <c r="C41" s="3"/>
      <c r="E41" s="36"/>
      <c r="F41" s="36"/>
      <c r="G41" s="36"/>
      <c r="H41" s="36"/>
      <c r="I41" s="36"/>
      <c r="J41" s="27"/>
      <c r="K41" s="27"/>
    </row>
    <row r="42" spans="1:17">
      <c r="A42" s="12"/>
      <c r="B42" s="12"/>
      <c r="C42" s="29"/>
      <c r="D42" s="48"/>
      <c r="J42" s="21"/>
      <c r="K42" s="21"/>
    </row>
    <row r="43" spans="1:17">
      <c r="A43" s="12"/>
      <c r="B43" s="12"/>
      <c r="C43" s="29"/>
      <c r="J43" s="21"/>
      <c r="K43" s="21"/>
    </row>
    <row r="44" spans="1:17">
      <c r="A44" s="12"/>
      <c r="B44" s="12"/>
      <c r="C44" s="29"/>
      <c r="I44" s="49"/>
      <c r="J44" s="21"/>
      <c r="K44" s="21"/>
    </row>
    <row r="45" spans="1:17">
      <c r="A45" s="12"/>
      <c r="B45" s="12"/>
      <c r="C45" s="29"/>
      <c r="E45" s="50"/>
      <c r="F45" s="50"/>
      <c r="G45" s="50"/>
      <c r="H45" s="50"/>
      <c r="I45" s="51"/>
      <c r="J45" s="51"/>
      <c r="K45" s="51"/>
    </row>
    <row r="46" spans="1:17">
      <c r="A46" s="12"/>
      <c r="B46" s="12"/>
      <c r="C46" s="29"/>
      <c r="I46" s="21"/>
      <c r="J46" s="21"/>
      <c r="K46" s="21"/>
    </row>
    <row r="47" spans="1:17">
      <c r="A47" s="12"/>
      <c r="B47" s="12"/>
      <c r="C47" s="52"/>
      <c r="I47" s="21"/>
      <c r="J47" s="21"/>
      <c r="K47" s="21"/>
    </row>
    <row r="48" spans="1:17">
      <c r="A48" s="12"/>
      <c r="B48" s="12"/>
      <c r="C48" s="52"/>
      <c r="I48" s="21"/>
      <c r="J48" s="21"/>
      <c r="K48" s="21"/>
    </row>
    <row r="49" spans="1:11">
      <c r="A49" s="12"/>
      <c r="B49" s="12"/>
      <c r="C49" s="53"/>
      <c r="I49" s="21"/>
      <c r="J49" s="21"/>
      <c r="K49" s="21"/>
    </row>
    <row r="50" spans="1:11">
      <c r="A50" s="12"/>
      <c r="B50" s="12"/>
      <c r="C50" s="29"/>
      <c r="I50" s="21"/>
      <c r="J50" s="21"/>
      <c r="K50" s="21"/>
    </row>
    <row r="51" spans="1:11">
      <c r="A51" s="12"/>
      <c r="B51" s="12"/>
      <c r="C51" s="29"/>
      <c r="I51" s="21"/>
      <c r="J51" s="21"/>
      <c r="K51" s="21"/>
    </row>
    <row r="52" spans="1:11">
      <c r="A52" s="12"/>
      <c r="B52" s="12"/>
      <c r="C52" s="29"/>
      <c r="I52" s="21"/>
      <c r="J52" s="21"/>
      <c r="K52" s="21"/>
    </row>
    <row r="53" spans="1:11">
      <c r="A53" s="12"/>
      <c r="B53" s="12"/>
      <c r="C53" s="29"/>
      <c r="I53" s="21"/>
      <c r="J53" s="21"/>
      <c r="K53" s="21"/>
    </row>
    <row r="54" spans="1:11">
      <c r="A54" s="12"/>
      <c r="B54" s="12"/>
      <c r="C54" s="29"/>
      <c r="I54" s="21"/>
      <c r="J54" s="21"/>
      <c r="K54" s="21"/>
    </row>
    <row r="55" spans="1:11">
      <c r="A55" s="12"/>
      <c r="B55" s="12"/>
      <c r="C55" s="29"/>
      <c r="I55" s="21"/>
      <c r="J55" s="21"/>
      <c r="K55" s="21"/>
    </row>
    <row r="56" spans="1:11">
      <c r="A56" s="12"/>
      <c r="B56" s="12"/>
      <c r="C56" s="29"/>
      <c r="I56" s="21"/>
      <c r="J56" s="21"/>
      <c r="K56" s="21"/>
    </row>
    <row r="57" spans="1:11">
      <c r="A57" s="12"/>
      <c r="B57" s="12"/>
      <c r="C57" s="41"/>
      <c r="I57" s="21"/>
      <c r="J57" s="21"/>
      <c r="K57" s="21"/>
    </row>
    <row r="58" spans="1:11">
      <c r="A58" s="12"/>
      <c r="B58" s="12"/>
      <c r="C58" s="29"/>
      <c r="I58" s="21"/>
      <c r="J58" s="21"/>
      <c r="K58" s="21"/>
    </row>
    <row r="59" spans="1:11">
      <c r="A59" s="12"/>
      <c r="B59" s="12"/>
      <c r="C59" s="29"/>
      <c r="I59" s="21"/>
      <c r="J59" s="21"/>
      <c r="K59" s="21"/>
    </row>
    <row r="60" spans="1:11">
      <c r="A60" s="12"/>
      <c r="B60" s="12"/>
      <c r="C60" s="29"/>
      <c r="I60" s="21"/>
      <c r="J60" s="21"/>
      <c r="K60" s="21"/>
    </row>
    <row r="61" spans="1:11">
      <c r="A61" s="12"/>
      <c r="B61" s="12"/>
      <c r="C61" s="29"/>
      <c r="I61" s="21"/>
      <c r="J61" s="21"/>
      <c r="K61" s="21"/>
    </row>
    <row r="62" spans="1:11">
      <c r="A62" s="12"/>
      <c r="B62" s="12"/>
      <c r="C62" s="29"/>
      <c r="I62" s="21"/>
      <c r="J62" s="21"/>
      <c r="K62" s="21"/>
    </row>
    <row r="63" spans="1:11">
      <c r="A63" s="12"/>
      <c r="B63" s="12"/>
      <c r="C63" s="29"/>
      <c r="I63" s="21"/>
      <c r="J63" s="21"/>
      <c r="K63" s="21"/>
    </row>
    <row r="64" spans="1:11">
      <c r="A64" s="12"/>
      <c r="B64" s="12"/>
      <c r="C64" s="29"/>
    </row>
    <row r="101" spans="9:9">
      <c r="I101" s="54"/>
    </row>
    <row r="104" spans="9:9">
      <c r="I104" s="54"/>
    </row>
    <row r="227" spans="1:8">
      <c r="E227" s="55"/>
      <c r="F227" s="55"/>
      <c r="G227" s="55"/>
      <c r="H227" s="55"/>
    </row>
    <row r="228" spans="1:8">
      <c r="E228" s="55"/>
      <c r="F228" s="55"/>
      <c r="G228" s="55"/>
      <c r="H228" s="55"/>
    </row>
    <row r="229" spans="1:8">
      <c r="E229" s="55"/>
      <c r="F229" s="55"/>
      <c r="G229" s="55"/>
      <c r="H229" s="55"/>
    </row>
    <row r="230" spans="1:8">
      <c r="A230" s="55"/>
      <c r="B230" s="55"/>
      <c r="C230" s="56"/>
      <c r="D230" s="55"/>
      <c r="E230" s="55"/>
      <c r="F230" s="55"/>
      <c r="G230" s="55"/>
      <c r="H230" s="55"/>
    </row>
    <row r="231" spans="1:8">
      <c r="A231" s="55"/>
      <c r="B231" s="55"/>
      <c r="C231" s="56"/>
      <c r="D231" s="55"/>
      <c r="E231" s="55"/>
      <c r="F231" s="55"/>
      <c r="G231" s="55"/>
      <c r="H231" s="55"/>
    </row>
    <row r="232" spans="1:8">
      <c r="A232" s="55"/>
      <c r="B232" s="55"/>
      <c r="C232" s="56"/>
      <c r="D232" s="55"/>
    </row>
    <row r="233" spans="1:8">
      <c r="A233" s="55"/>
      <c r="B233" s="55"/>
      <c r="C233" s="56"/>
      <c r="D233" s="55"/>
    </row>
    <row r="234" spans="1:8">
      <c r="A234" s="55"/>
      <c r="B234" s="55"/>
      <c r="C234" s="56"/>
      <c r="D234" s="55"/>
    </row>
    <row r="261" spans="1:8">
      <c r="E261" s="55"/>
      <c r="F261" s="55"/>
      <c r="G261" s="55"/>
      <c r="H261" s="55"/>
    </row>
    <row r="264" spans="1:8">
      <c r="A264" s="55"/>
      <c r="B264" s="55"/>
      <c r="C264" s="56"/>
      <c r="D264" s="55"/>
    </row>
    <row r="333" spans="1:2">
      <c r="A333" s="1"/>
      <c r="B333" s="1"/>
    </row>
    <row r="350" spans="1:2">
      <c r="A350" s="55"/>
      <c r="B350" s="55"/>
    </row>
    <row r="351" spans="1:2">
      <c r="A351" s="55"/>
      <c r="B351" s="55"/>
    </row>
    <row r="352" spans="1:2">
      <c r="A352" s="55"/>
      <c r="B352" s="55"/>
    </row>
    <row r="353" spans="1:2">
      <c r="A353" s="55"/>
      <c r="B353" s="55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0"/>
  <sheetViews>
    <sheetView workbookViewId="0">
      <selection activeCell="E21" sqref="E21"/>
    </sheetView>
  </sheetViews>
  <sheetFormatPr defaultRowHeight="15"/>
  <sheetData>
    <row r="7" spans="1:9" ht="46.5">
      <c r="A7" s="290" t="s">
        <v>157</v>
      </c>
      <c r="B7" s="290"/>
      <c r="C7" s="290"/>
      <c r="D7" s="290"/>
      <c r="E7" s="290"/>
      <c r="F7" s="290"/>
      <c r="G7" s="290"/>
      <c r="H7" s="290"/>
      <c r="I7" s="290"/>
    </row>
    <row r="11" spans="1:9" ht="18.75">
      <c r="A11" s="291" t="s">
        <v>1</v>
      </c>
      <c r="B11" s="291"/>
      <c r="C11" s="291"/>
      <c r="D11" s="291"/>
      <c r="E11" s="291"/>
      <c r="F11" s="291"/>
      <c r="G11" s="291"/>
      <c r="H11" s="291"/>
      <c r="I11" s="291"/>
    </row>
    <row r="12" spans="1:9" ht="18.75">
      <c r="A12" s="291" t="s">
        <v>308</v>
      </c>
      <c r="B12" s="291"/>
      <c r="C12" s="291"/>
      <c r="D12" s="291"/>
      <c r="E12" s="291"/>
      <c r="F12" s="291"/>
      <c r="G12" s="291"/>
      <c r="H12" s="291"/>
      <c r="I12" s="291"/>
    </row>
    <row r="17" spans="1:9" ht="21" customHeight="1">
      <c r="A17" s="292" t="s">
        <v>313</v>
      </c>
      <c r="B17" s="292"/>
      <c r="C17" s="292"/>
      <c r="D17" s="292"/>
      <c r="E17" s="292"/>
      <c r="F17" s="292"/>
      <c r="G17" s="292"/>
      <c r="H17" s="292"/>
      <c r="I17" s="292"/>
    </row>
    <row r="18" spans="1:9" ht="21" customHeight="1">
      <c r="A18" s="274"/>
      <c r="B18" s="274"/>
      <c r="C18" s="274"/>
      <c r="D18" s="274"/>
      <c r="E18" s="274"/>
      <c r="F18" s="274"/>
      <c r="G18" s="274"/>
      <c r="H18" s="274"/>
      <c r="I18" s="274"/>
    </row>
    <row r="19" spans="1:9" ht="18.75" customHeight="1">
      <c r="A19" s="291" t="s">
        <v>324</v>
      </c>
      <c r="B19" s="291"/>
      <c r="C19" s="291"/>
      <c r="D19" s="291"/>
      <c r="E19" s="291"/>
      <c r="F19" s="291"/>
      <c r="G19" s="291"/>
      <c r="H19" s="291"/>
      <c r="I19" s="291"/>
    </row>
    <row r="20" spans="1:9" ht="18.75" customHeight="1">
      <c r="A20" s="291" t="s">
        <v>314</v>
      </c>
      <c r="B20" s="291"/>
      <c r="C20" s="291"/>
      <c r="D20" s="291"/>
      <c r="E20" s="291"/>
      <c r="F20" s="291"/>
      <c r="G20" s="291"/>
      <c r="H20" s="291"/>
      <c r="I20" s="291"/>
    </row>
  </sheetData>
  <mergeCells count="6">
    <mergeCell ref="A7:I7"/>
    <mergeCell ref="A12:I12"/>
    <mergeCell ref="A17:I17"/>
    <mergeCell ref="A19:I19"/>
    <mergeCell ref="A20:I20"/>
    <mergeCell ref="A11:I11"/>
  </mergeCells>
  <printOptions horizontalCentered="1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4"/>
  <sheetViews>
    <sheetView workbookViewId="0">
      <selection activeCell="G24" sqref="G24"/>
    </sheetView>
  </sheetViews>
  <sheetFormatPr defaultColWidth="10.85546875" defaultRowHeight="12"/>
  <cols>
    <col min="1" max="1" width="6.85546875" style="3" customWidth="1"/>
    <col min="2" max="2" width="8.42578125" style="3" hidden="1" customWidth="1"/>
    <col min="3" max="3" width="29" style="28" customWidth="1"/>
    <col min="4" max="4" width="1.7109375" style="3" customWidth="1"/>
    <col min="5" max="5" width="10.7109375" style="3" customWidth="1"/>
    <col min="6" max="6" width="2.7109375" style="3" customWidth="1"/>
    <col min="7" max="7" width="11.85546875" style="3" customWidth="1"/>
    <col min="8" max="8" width="1.7109375" style="3" customWidth="1"/>
    <col min="9" max="9" width="10.85546875" style="3"/>
    <col min="10" max="10" width="1.7109375" style="3" customWidth="1"/>
    <col min="11" max="11" width="10.85546875" style="3"/>
    <col min="12" max="12" width="1.7109375" style="3" customWidth="1"/>
    <col min="13" max="13" width="10.85546875" style="3"/>
    <col min="14" max="14" width="1.7109375" style="3" customWidth="1"/>
    <col min="15" max="16384" width="10.85546875" style="3"/>
  </cols>
  <sheetData>
    <row r="1" spans="1:13">
      <c r="A1" s="1" t="s">
        <v>0</v>
      </c>
      <c r="B1" s="1"/>
      <c r="C1" s="2"/>
      <c r="E1" s="4" t="s">
        <v>1</v>
      </c>
      <c r="G1" s="4"/>
    </row>
    <row r="2" spans="1:13">
      <c r="A2" s="1"/>
      <c r="B2" s="1"/>
      <c r="C2" s="2"/>
      <c r="E2" s="4"/>
      <c r="G2" s="4"/>
    </row>
    <row r="3" spans="1:13">
      <c r="A3" s="1" t="s">
        <v>77</v>
      </c>
      <c r="B3" s="1"/>
      <c r="C3" s="2"/>
      <c r="E3" s="4"/>
      <c r="G3" s="4"/>
    </row>
    <row r="4" spans="1:13">
      <c r="A4" s="1" t="s">
        <v>4</v>
      </c>
      <c r="B4" s="1"/>
      <c r="C4" s="2"/>
      <c r="E4" s="5"/>
      <c r="G4" s="4"/>
    </row>
    <row r="5" spans="1:13">
      <c r="A5" s="1" t="s">
        <v>6</v>
      </c>
      <c r="B5" s="1"/>
      <c r="C5" s="2"/>
      <c r="E5" s="4"/>
      <c r="G5" s="4"/>
    </row>
    <row r="6" spans="1:13">
      <c r="A6" s="1" t="s">
        <v>8</v>
      </c>
      <c r="B6" s="1"/>
      <c r="C6" s="2"/>
      <c r="D6" s="1"/>
      <c r="E6" s="4"/>
      <c r="F6" s="4"/>
      <c r="G6" s="4"/>
    </row>
    <row r="7" spans="1:13">
      <c r="A7" s="1" t="s">
        <v>9</v>
      </c>
      <c r="B7" s="1"/>
      <c r="C7" s="2"/>
      <c r="D7" s="1"/>
      <c r="E7" s="1"/>
      <c r="F7" s="1"/>
      <c r="G7" s="1"/>
    </row>
    <row r="8" spans="1:13">
      <c r="A8" s="6" t="s">
        <v>10</v>
      </c>
      <c r="B8" s="6"/>
      <c r="C8" s="2"/>
      <c r="D8" s="1"/>
      <c r="E8" s="1"/>
      <c r="F8" s="1"/>
      <c r="G8" s="1"/>
    </row>
    <row r="9" spans="1:13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9"/>
      <c r="B10" s="10" t="s">
        <v>11</v>
      </c>
      <c r="C10" s="11">
        <v>-1</v>
      </c>
      <c r="D10" s="12"/>
      <c r="E10" s="11"/>
      <c r="G10" s="11"/>
      <c r="H10" s="11"/>
      <c r="I10" s="11"/>
      <c r="J10" s="11"/>
      <c r="K10" s="11"/>
      <c r="M10" s="11"/>
    </row>
    <row r="11" spans="1:13">
      <c r="C11" s="2"/>
      <c r="D11" s="1"/>
      <c r="F11" s="12"/>
      <c r="G11" s="12"/>
      <c r="H11" s="12"/>
      <c r="I11" s="12" t="s">
        <v>184</v>
      </c>
      <c r="K11" s="12" t="s">
        <v>183</v>
      </c>
      <c r="M11" s="12" t="s">
        <v>184</v>
      </c>
    </row>
    <row r="12" spans="1:13">
      <c r="A12" s="12" t="s">
        <v>14</v>
      </c>
      <c r="B12" s="12" t="s">
        <v>15</v>
      </c>
      <c r="C12" s="2"/>
      <c r="D12" s="1"/>
      <c r="E12" s="12" t="s">
        <v>13</v>
      </c>
      <c r="F12" s="12"/>
      <c r="G12" s="12" t="s">
        <v>18</v>
      </c>
      <c r="H12" s="12"/>
      <c r="I12" s="12" t="s">
        <v>185</v>
      </c>
      <c r="K12" s="12" t="s">
        <v>182</v>
      </c>
      <c r="M12" s="12" t="s">
        <v>185</v>
      </c>
    </row>
    <row r="13" spans="1:13" ht="14.25">
      <c r="A13" s="14" t="s">
        <v>19</v>
      </c>
      <c r="B13" s="14" t="s">
        <v>20</v>
      </c>
      <c r="C13" s="15" t="s">
        <v>21</v>
      </c>
      <c r="D13" s="16"/>
      <c r="E13" s="130" t="s">
        <v>17</v>
      </c>
      <c r="F13" s="18"/>
      <c r="G13" s="14" t="s">
        <v>17</v>
      </c>
      <c r="H13" s="124"/>
      <c r="I13" s="125" t="s">
        <v>186</v>
      </c>
      <c r="K13" s="14" t="s">
        <v>17</v>
      </c>
      <c r="M13" s="14" t="s">
        <v>186</v>
      </c>
    </row>
    <row r="14" spans="1:13">
      <c r="A14" s="19">
        <v>1</v>
      </c>
      <c r="B14" s="19"/>
      <c r="C14" s="20" t="s">
        <v>24</v>
      </c>
      <c r="E14" s="21"/>
      <c r="F14" s="21"/>
      <c r="G14" s="21"/>
    </row>
    <row r="15" spans="1:13">
      <c r="A15" s="19">
        <v>2</v>
      </c>
      <c r="B15" s="19">
        <v>68001</v>
      </c>
      <c r="C15" s="22" t="s">
        <v>25</v>
      </c>
      <c r="D15" s="23"/>
      <c r="E15" s="122">
        <v>11.19</v>
      </c>
      <c r="F15" s="27"/>
      <c r="G15" s="122">
        <v>15.35</v>
      </c>
      <c r="I15" s="126">
        <f t="shared" ref="I15:I22" si="0">+G15/E15-1</f>
        <v>0.37176050044682762</v>
      </c>
      <c r="K15" s="122">
        <f>+'Water Rate Design'!I9</f>
        <v>11.54</v>
      </c>
      <c r="M15" s="126">
        <f t="shared" ref="M15:M22" si="1">+K15/E15-1</f>
        <v>3.1277926720285842E-2</v>
      </c>
    </row>
    <row r="16" spans="1:13">
      <c r="A16" s="19">
        <v>3</v>
      </c>
      <c r="B16" s="19">
        <v>68002</v>
      </c>
      <c r="C16" s="28" t="s">
        <v>26</v>
      </c>
      <c r="D16" s="23"/>
      <c r="E16" s="122">
        <v>16.78</v>
      </c>
      <c r="F16" s="27"/>
      <c r="G16" s="122">
        <v>23.02</v>
      </c>
      <c r="I16" s="126">
        <f t="shared" si="0"/>
        <v>0.37187127532777109</v>
      </c>
      <c r="K16" s="122">
        <f>+'Water Rate Design'!I10</f>
        <v>17.309999999999999</v>
      </c>
      <c r="M16" s="126">
        <f t="shared" si="1"/>
        <v>3.1585220500595756E-2</v>
      </c>
    </row>
    <row r="17" spans="1:13">
      <c r="A17" s="19">
        <v>4</v>
      </c>
      <c r="B17" s="19">
        <v>68003</v>
      </c>
      <c r="C17" s="29" t="s">
        <v>27</v>
      </c>
      <c r="D17" s="30"/>
      <c r="E17" s="122">
        <v>27.96</v>
      </c>
      <c r="F17" s="31"/>
      <c r="G17" s="122">
        <v>38.369999999999997</v>
      </c>
      <c r="I17" s="126">
        <f t="shared" si="0"/>
        <v>0.37231759656652352</v>
      </c>
      <c r="K17" s="122">
        <f>+'Water Rate Design'!I11</f>
        <v>28.84</v>
      </c>
      <c r="M17" s="126">
        <f t="shared" si="1"/>
        <v>3.1473533619456262E-2</v>
      </c>
    </row>
    <row r="18" spans="1:13">
      <c r="A18" s="19">
        <v>5</v>
      </c>
      <c r="B18" s="19">
        <v>68004</v>
      </c>
      <c r="C18" s="29" t="s">
        <v>28</v>
      </c>
      <c r="D18" s="30"/>
      <c r="E18" s="122">
        <v>55.91</v>
      </c>
      <c r="F18" s="27"/>
      <c r="G18" s="122">
        <v>76.72</v>
      </c>
      <c r="I18" s="126">
        <f t="shared" si="0"/>
        <v>0.3722053299946344</v>
      </c>
      <c r="K18" s="122">
        <f>+'Water Rate Design'!I12</f>
        <v>57.69</v>
      </c>
      <c r="M18" s="126">
        <f t="shared" si="1"/>
        <v>3.1836880701126891E-2</v>
      </c>
    </row>
    <row r="19" spans="1:13">
      <c r="A19" s="19">
        <v>6</v>
      </c>
      <c r="B19" s="19"/>
      <c r="C19" s="29" t="s">
        <v>29</v>
      </c>
      <c r="D19" s="30"/>
      <c r="E19" s="122">
        <v>89.45</v>
      </c>
      <c r="F19" s="27"/>
      <c r="G19" s="122">
        <v>122.74</v>
      </c>
      <c r="I19" s="126">
        <f t="shared" si="0"/>
        <v>0.37216321967579646</v>
      </c>
      <c r="K19" s="122">
        <f>+'Water Rate Design'!I13</f>
        <v>92.3</v>
      </c>
      <c r="M19" s="126">
        <f t="shared" si="1"/>
        <v>3.1861375069871301E-2</v>
      </c>
    </row>
    <row r="20" spans="1:13">
      <c r="A20" s="19">
        <v>7</v>
      </c>
      <c r="B20" s="19"/>
      <c r="C20" s="29" t="s">
        <v>30</v>
      </c>
      <c r="D20" s="30"/>
      <c r="E20" s="122">
        <v>178.91</v>
      </c>
      <c r="F20" s="27"/>
      <c r="G20" s="122">
        <v>245.5</v>
      </c>
      <c r="I20" s="126">
        <f t="shared" si="0"/>
        <v>0.37219831200044728</v>
      </c>
      <c r="K20" s="122">
        <f>+'Water Rate Design'!I14</f>
        <v>184.59</v>
      </c>
      <c r="M20" s="126">
        <f t="shared" si="1"/>
        <v>3.1747806159521552E-2</v>
      </c>
    </row>
    <row r="21" spans="1:13">
      <c r="A21" s="19">
        <v>8</v>
      </c>
      <c r="B21" s="19"/>
      <c r="C21" s="29" t="s">
        <v>31</v>
      </c>
      <c r="D21" s="30"/>
      <c r="E21" s="122">
        <v>279.55</v>
      </c>
      <c r="F21" s="27"/>
      <c r="G21" s="122">
        <f t="shared" ref="G21:G22" si="2">ROUND(G20/E20*E21,2)</f>
        <v>383.6</v>
      </c>
      <c r="I21" s="126">
        <f t="shared" si="0"/>
        <v>0.37220532999463418</v>
      </c>
      <c r="K21" s="122">
        <f>+'Water Rate Design'!I15</f>
        <v>288.43</v>
      </c>
      <c r="M21" s="126">
        <f t="shared" si="1"/>
        <v>3.1765337148989436E-2</v>
      </c>
    </row>
    <row r="22" spans="1:13">
      <c r="A22" s="19">
        <v>9</v>
      </c>
      <c r="B22" s="19"/>
      <c r="C22" s="29" t="s">
        <v>32</v>
      </c>
      <c r="D22" s="30"/>
      <c r="E22" s="122">
        <v>549.02</v>
      </c>
      <c r="F22" s="27"/>
      <c r="G22" s="122">
        <f t="shared" si="2"/>
        <v>753.37</v>
      </c>
      <c r="I22" s="126">
        <f t="shared" si="0"/>
        <v>0.37220866270809805</v>
      </c>
      <c r="K22" s="122">
        <f>+'Water Rate Design'!I16</f>
        <v>576.86</v>
      </c>
      <c r="M22" s="126">
        <f t="shared" si="1"/>
        <v>5.0708535208189298E-2</v>
      </c>
    </row>
    <row r="23" spans="1:13">
      <c r="A23" s="19">
        <v>10</v>
      </c>
      <c r="B23" s="19"/>
      <c r="C23" s="22"/>
      <c r="D23" s="30"/>
      <c r="F23" s="27"/>
      <c r="I23" s="126"/>
    </row>
    <row r="24" spans="1:13">
      <c r="A24" s="19">
        <v>11</v>
      </c>
      <c r="B24" s="19"/>
      <c r="C24" s="33" t="s">
        <v>33</v>
      </c>
      <c r="D24" s="30"/>
      <c r="E24" s="122">
        <v>5.17</v>
      </c>
      <c r="F24" s="31"/>
      <c r="G24" s="122">
        <v>7.09</v>
      </c>
      <c r="I24" s="126">
        <f>+G24/E24-1</f>
        <v>0.37137330754352038</v>
      </c>
    </row>
    <row r="25" spans="1:13">
      <c r="A25" s="19"/>
      <c r="B25" s="19"/>
      <c r="C25" s="33" t="str">
        <f>+'Water Rate Design'!B40</f>
        <v>0-8k</v>
      </c>
      <c r="D25" s="30"/>
      <c r="E25" s="122"/>
      <c r="F25" s="31"/>
      <c r="G25" s="122"/>
      <c r="I25" s="126"/>
      <c r="K25" s="122">
        <f>+'Water Rate Design'!I40</f>
        <v>1.97</v>
      </c>
      <c r="M25" s="126">
        <f>K25/E$24-1</f>
        <v>-0.61895551257253389</v>
      </c>
    </row>
    <row r="26" spans="1:13">
      <c r="A26" s="19"/>
      <c r="B26" s="19"/>
      <c r="C26" s="33" t="str">
        <f>+'Water Rate Design'!B41</f>
        <v>8-16k</v>
      </c>
      <c r="D26" s="30"/>
      <c r="E26" s="122"/>
      <c r="F26" s="31"/>
      <c r="G26" s="122"/>
      <c r="I26" s="126"/>
      <c r="K26" s="122">
        <f>+'Water Rate Design'!I41</f>
        <v>2.95</v>
      </c>
      <c r="M26" s="126">
        <f t="shared" ref="M26:M27" si="3">K26/E$24-1</f>
        <v>-0.42940038684719528</v>
      </c>
    </row>
    <row r="27" spans="1:13">
      <c r="A27" s="19"/>
      <c r="B27" s="19"/>
      <c r="C27" s="33" t="str">
        <f>+'Water Rate Design'!B42</f>
        <v>+16k</v>
      </c>
      <c r="D27" s="30"/>
      <c r="E27" s="122"/>
      <c r="F27" s="31"/>
      <c r="G27" s="122"/>
      <c r="I27" s="126"/>
      <c r="K27" s="122">
        <f>+'Water Rate Design'!I42</f>
        <v>3.93</v>
      </c>
      <c r="M27" s="126">
        <f t="shared" si="3"/>
        <v>-0.23984526112185678</v>
      </c>
    </row>
    <row r="28" spans="1:13">
      <c r="A28" s="19">
        <v>12</v>
      </c>
      <c r="B28" s="19"/>
      <c r="C28" s="38"/>
      <c r="D28" s="30"/>
      <c r="F28" s="27"/>
      <c r="I28" s="126"/>
    </row>
    <row r="29" spans="1:13">
      <c r="A29" s="19">
        <v>13</v>
      </c>
      <c r="B29" s="19"/>
      <c r="C29" s="41" t="s">
        <v>37</v>
      </c>
      <c r="D29" s="42"/>
      <c r="F29" s="27"/>
      <c r="I29" s="126"/>
    </row>
    <row r="30" spans="1:13">
      <c r="A30" s="19">
        <v>14</v>
      </c>
      <c r="B30" s="19">
        <v>68006</v>
      </c>
      <c r="C30" s="22" t="s">
        <v>38</v>
      </c>
      <c r="D30" s="23"/>
      <c r="E30" s="122">
        <v>11.19</v>
      </c>
      <c r="F30" s="27"/>
      <c r="G30" s="122">
        <f>+G15</f>
        <v>15.35</v>
      </c>
      <c r="I30" s="126">
        <f t="shared" ref="I30:I37" si="4">+G30/E30-1</f>
        <v>0.37176050044682762</v>
      </c>
      <c r="K30" s="122">
        <f>+K15</f>
        <v>11.54</v>
      </c>
      <c r="M30" s="126">
        <f t="shared" ref="M30:M37" si="5">+K30/E30-1</f>
        <v>3.1277926720285842E-2</v>
      </c>
    </row>
    <row r="31" spans="1:13">
      <c r="A31" s="19">
        <v>15</v>
      </c>
      <c r="B31" s="19">
        <v>68006</v>
      </c>
      <c r="C31" s="45" t="s">
        <v>26</v>
      </c>
      <c r="D31" s="30"/>
      <c r="E31" s="122">
        <v>16.78</v>
      </c>
      <c r="F31" s="27"/>
      <c r="G31" s="122">
        <f t="shared" ref="G31:G37" si="6">+G16</f>
        <v>23.02</v>
      </c>
      <c r="I31" s="126">
        <f t="shared" si="4"/>
        <v>0.37187127532777109</v>
      </c>
      <c r="K31" s="122">
        <f t="shared" ref="K31:K37" si="7">+K16</f>
        <v>17.309999999999999</v>
      </c>
      <c r="M31" s="126">
        <f t="shared" si="5"/>
        <v>3.1585220500595756E-2</v>
      </c>
    </row>
    <row r="32" spans="1:13">
      <c r="A32" s="19">
        <v>16</v>
      </c>
      <c r="B32" s="19">
        <v>68007</v>
      </c>
      <c r="C32" s="29" t="s">
        <v>27</v>
      </c>
      <c r="D32" s="30"/>
      <c r="E32" s="122">
        <v>27.96</v>
      </c>
      <c r="F32" s="27"/>
      <c r="G32" s="122">
        <f t="shared" si="6"/>
        <v>38.369999999999997</v>
      </c>
      <c r="I32" s="126">
        <f t="shared" si="4"/>
        <v>0.37231759656652352</v>
      </c>
      <c r="K32" s="122">
        <f t="shared" si="7"/>
        <v>28.84</v>
      </c>
      <c r="M32" s="126">
        <f t="shared" si="5"/>
        <v>3.1473533619456262E-2</v>
      </c>
    </row>
    <row r="33" spans="1:13">
      <c r="A33" s="19">
        <v>17</v>
      </c>
      <c r="B33" s="19">
        <v>68008</v>
      </c>
      <c r="C33" s="29" t="s">
        <v>28</v>
      </c>
      <c r="D33" s="30"/>
      <c r="E33" s="122">
        <v>55.91</v>
      </c>
      <c r="F33" s="27"/>
      <c r="G33" s="122">
        <f t="shared" si="6"/>
        <v>76.72</v>
      </c>
      <c r="I33" s="126">
        <f t="shared" si="4"/>
        <v>0.3722053299946344</v>
      </c>
      <c r="K33" s="122">
        <f t="shared" si="7"/>
        <v>57.69</v>
      </c>
      <c r="M33" s="126">
        <f t="shared" si="5"/>
        <v>3.1836880701126891E-2</v>
      </c>
    </row>
    <row r="34" spans="1:13">
      <c r="A34" s="19">
        <v>18</v>
      </c>
      <c r="B34" s="19">
        <v>68009</v>
      </c>
      <c r="C34" s="29" t="s">
        <v>29</v>
      </c>
      <c r="D34" s="30"/>
      <c r="E34" s="122">
        <v>89.45</v>
      </c>
      <c r="F34" s="27"/>
      <c r="G34" s="122">
        <f t="shared" si="6"/>
        <v>122.74</v>
      </c>
      <c r="I34" s="126">
        <f t="shared" si="4"/>
        <v>0.37216321967579646</v>
      </c>
      <c r="K34" s="122">
        <f t="shared" si="7"/>
        <v>92.3</v>
      </c>
      <c r="M34" s="126">
        <f t="shared" si="5"/>
        <v>3.1861375069871301E-2</v>
      </c>
    </row>
    <row r="35" spans="1:13">
      <c r="A35" s="19">
        <v>19</v>
      </c>
      <c r="B35" s="19">
        <v>68005</v>
      </c>
      <c r="C35" s="29" t="s">
        <v>30</v>
      </c>
      <c r="D35" s="30"/>
      <c r="E35" s="122">
        <v>178.91</v>
      </c>
      <c r="F35" s="27"/>
      <c r="G35" s="122">
        <f t="shared" si="6"/>
        <v>245.5</v>
      </c>
      <c r="I35" s="126">
        <f t="shared" si="4"/>
        <v>0.37219831200044728</v>
      </c>
      <c r="K35" s="122">
        <f t="shared" si="7"/>
        <v>184.59</v>
      </c>
      <c r="M35" s="126">
        <f t="shared" si="5"/>
        <v>3.1747806159521552E-2</v>
      </c>
    </row>
    <row r="36" spans="1:13">
      <c r="A36" s="19">
        <v>20</v>
      </c>
      <c r="B36" s="19">
        <v>68016</v>
      </c>
      <c r="C36" s="29" t="s">
        <v>31</v>
      </c>
      <c r="D36" s="30"/>
      <c r="E36" s="122">
        <v>279.55</v>
      </c>
      <c r="F36" s="31"/>
      <c r="G36" s="122">
        <f t="shared" si="6"/>
        <v>383.6</v>
      </c>
      <c r="I36" s="126">
        <f t="shared" si="4"/>
        <v>0.37220532999463418</v>
      </c>
      <c r="K36" s="122">
        <f t="shared" si="7"/>
        <v>288.43</v>
      </c>
      <c r="M36" s="126">
        <f t="shared" si="5"/>
        <v>3.1765337148989436E-2</v>
      </c>
    </row>
    <row r="37" spans="1:13">
      <c r="A37" s="19">
        <v>21</v>
      </c>
      <c r="B37" s="19">
        <v>68017</v>
      </c>
      <c r="C37" s="29" t="s">
        <v>32</v>
      </c>
      <c r="D37" s="30"/>
      <c r="E37" s="122">
        <v>549.02</v>
      </c>
      <c r="F37" s="36"/>
      <c r="G37" s="122">
        <f t="shared" si="6"/>
        <v>753.37</v>
      </c>
      <c r="I37" s="126">
        <f t="shared" si="4"/>
        <v>0.37220866270809805</v>
      </c>
      <c r="K37" s="122">
        <f t="shared" si="7"/>
        <v>576.86</v>
      </c>
      <c r="M37" s="126">
        <f t="shared" si="5"/>
        <v>5.0708535208189298E-2</v>
      </c>
    </row>
    <row r="38" spans="1:13">
      <c r="A38" s="19">
        <v>22</v>
      </c>
      <c r="B38" s="19">
        <v>68018</v>
      </c>
      <c r="C38" s="22"/>
      <c r="D38" s="30"/>
      <c r="F38" s="36"/>
      <c r="I38" s="126"/>
    </row>
    <row r="39" spans="1:13">
      <c r="A39" s="19">
        <v>23</v>
      </c>
      <c r="B39" s="19"/>
      <c r="C39" s="33" t="s">
        <v>33</v>
      </c>
      <c r="E39" s="122">
        <v>5.17</v>
      </c>
      <c r="F39" s="27"/>
      <c r="G39" s="122">
        <f>+G24</f>
        <v>7.09</v>
      </c>
      <c r="I39" s="126">
        <f>+G39/E39-1</f>
        <v>0.37137330754352038</v>
      </c>
      <c r="K39" s="122">
        <f>+'Water Rate Design'!I45</f>
        <v>2.98</v>
      </c>
      <c r="M39" s="126">
        <f>+K39/E39-1</f>
        <v>-0.42359767891682787</v>
      </c>
    </row>
    <row r="40" spans="1:13">
      <c r="A40" s="19"/>
      <c r="B40" s="19"/>
      <c r="C40" s="3"/>
      <c r="F40" s="27"/>
      <c r="G40" s="27"/>
    </row>
    <row r="41" spans="1:13">
      <c r="A41" s="19"/>
      <c r="C41" s="3"/>
      <c r="E41" s="36"/>
      <c r="F41" s="27"/>
      <c r="G41" s="27"/>
    </row>
    <row r="42" spans="1:13">
      <c r="A42" s="12"/>
      <c r="B42" s="12"/>
      <c r="C42" s="29"/>
      <c r="D42" s="48"/>
      <c r="F42" s="21"/>
      <c r="G42" s="21"/>
    </row>
    <row r="43" spans="1:13">
      <c r="A43" s="12"/>
      <c r="B43" s="12"/>
      <c r="C43" s="29"/>
      <c r="F43" s="21"/>
      <c r="G43" s="21"/>
    </row>
    <row r="44" spans="1:13">
      <c r="A44" s="12"/>
      <c r="B44" s="12"/>
      <c r="C44" s="29"/>
      <c r="E44" s="49"/>
      <c r="F44" s="21"/>
      <c r="G44" s="21"/>
    </row>
    <row r="45" spans="1:13">
      <c r="A45" s="12"/>
      <c r="B45" s="12"/>
      <c r="C45" s="29"/>
      <c r="E45" s="51"/>
      <c r="F45" s="51"/>
      <c r="G45" s="51"/>
    </row>
    <row r="46" spans="1:13">
      <c r="A46" s="12"/>
      <c r="B46" s="12"/>
      <c r="C46" s="29"/>
      <c r="E46" s="21"/>
      <c r="F46" s="21"/>
      <c r="G46" s="21"/>
    </row>
    <row r="47" spans="1:13">
      <c r="A47" s="12"/>
      <c r="B47" s="12"/>
      <c r="C47" s="52"/>
      <c r="E47" s="21"/>
      <c r="F47" s="21"/>
      <c r="G47" s="21"/>
    </row>
    <row r="48" spans="1:13">
      <c r="A48" s="12"/>
      <c r="B48" s="12"/>
      <c r="C48" s="52"/>
      <c r="E48" s="21"/>
      <c r="F48" s="21"/>
      <c r="G48" s="21"/>
    </row>
    <row r="49" spans="1:7">
      <c r="A49" s="12"/>
      <c r="B49" s="12"/>
      <c r="C49" s="53"/>
      <c r="E49" s="21"/>
      <c r="F49" s="21"/>
      <c r="G49" s="21"/>
    </row>
    <row r="50" spans="1:7">
      <c r="A50" s="12"/>
      <c r="B50" s="12"/>
      <c r="C50" s="29"/>
      <c r="E50" s="21"/>
      <c r="F50" s="21"/>
      <c r="G50" s="21"/>
    </row>
    <row r="51" spans="1:7">
      <c r="A51" s="12"/>
      <c r="B51" s="12"/>
      <c r="C51" s="29"/>
      <c r="E51" s="21"/>
      <c r="F51" s="21"/>
      <c r="G51" s="21"/>
    </row>
    <row r="52" spans="1:7">
      <c r="A52" s="12"/>
      <c r="B52" s="12"/>
      <c r="C52" s="29"/>
      <c r="E52" s="21"/>
      <c r="F52" s="21"/>
      <c r="G52" s="21"/>
    </row>
    <row r="53" spans="1:7">
      <c r="A53" s="12"/>
      <c r="B53" s="12"/>
      <c r="C53" s="29"/>
      <c r="E53" s="21"/>
      <c r="F53" s="21"/>
      <c r="G53" s="21"/>
    </row>
    <row r="54" spans="1:7">
      <c r="A54" s="12"/>
      <c r="B54" s="12"/>
      <c r="C54" s="29"/>
      <c r="E54" s="21"/>
      <c r="F54" s="21"/>
      <c r="G54" s="21"/>
    </row>
    <row r="55" spans="1:7">
      <c r="A55" s="12"/>
      <c r="B55" s="12"/>
      <c r="C55" s="29"/>
      <c r="E55" s="21"/>
      <c r="F55" s="21"/>
      <c r="G55" s="21"/>
    </row>
    <row r="56" spans="1:7">
      <c r="A56" s="12"/>
      <c r="B56" s="12"/>
      <c r="C56" s="29"/>
      <c r="E56" s="21"/>
      <c r="F56" s="21"/>
      <c r="G56" s="21"/>
    </row>
    <row r="57" spans="1:7">
      <c r="A57" s="12"/>
      <c r="B57" s="12"/>
      <c r="C57" s="41"/>
      <c r="E57" s="21"/>
      <c r="F57" s="21"/>
      <c r="G57" s="21"/>
    </row>
    <row r="58" spans="1:7">
      <c r="A58" s="12"/>
      <c r="B58" s="12"/>
      <c r="C58" s="29"/>
      <c r="E58" s="21"/>
      <c r="F58" s="21"/>
      <c r="G58" s="21"/>
    </row>
    <row r="59" spans="1:7">
      <c r="A59" s="12"/>
      <c r="B59" s="12"/>
      <c r="C59" s="29"/>
      <c r="E59" s="21"/>
      <c r="F59" s="21"/>
      <c r="G59" s="21"/>
    </row>
    <row r="60" spans="1:7">
      <c r="A60" s="12"/>
      <c r="B60" s="12"/>
      <c r="C60" s="29"/>
      <c r="E60" s="21"/>
      <c r="F60" s="21"/>
      <c r="G60" s="21"/>
    </row>
    <row r="61" spans="1:7">
      <c r="A61" s="12"/>
      <c r="B61" s="12"/>
      <c r="C61" s="29"/>
      <c r="E61" s="21"/>
      <c r="F61" s="21"/>
      <c r="G61" s="21"/>
    </row>
    <row r="62" spans="1:7">
      <c r="A62" s="12"/>
      <c r="B62" s="12"/>
      <c r="C62" s="29"/>
      <c r="E62" s="21"/>
      <c r="F62" s="21"/>
      <c r="G62" s="21"/>
    </row>
    <row r="63" spans="1:7">
      <c r="A63" s="12"/>
      <c r="B63" s="12"/>
      <c r="C63" s="29"/>
      <c r="E63" s="21"/>
      <c r="F63" s="21"/>
      <c r="G63" s="21"/>
    </row>
    <row r="64" spans="1:7">
      <c r="A64" s="12"/>
      <c r="B64" s="12"/>
      <c r="C64" s="29"/>
    </row>
    <row r="101" spans="5:5">
      <c r="E101" s="54"/>
    </row>
    <row r="104" spans="5:5">
      <c r="E104" s="54"/>
    </row>
    <row r="230" spans="1:4">
      <c r="A230" s="55"/>
      <c r="B230" s="55"/>
      <c r="C230" s="56"/>
      <c r="D230" s="55"/>
    </row>
    <row r="231" spans="1:4">
      <c r="A231" s="55"/>
      <c r="B231" s="55"/>
      <c r="C231" s="56"/>
      <c r="D231" s="55"/>
    </row>
    <row r="232" spans="1:4">
      <c r="A232" s="55"/>
      <c r="B232" s="55"/>
      <c r="C232" s="56"/>
      <c r="D232" s="55"/>
    </row>
    <row r="233" spans="1:4">
      <c r="A233" s="55"/>
      <c r="B233" s="55"/>
      <c r="C233" s="56"/>
      <c r="D233" s="55"/>
    </row>
    <row r="234" spans="1:4">
      <c r="A234" s="55"/>
      <c r="B234" s="55"/>
      <c r="C234" s="56"/>
      <c r="D234" s="55"/>
    </row>
    <row r="264" spans="1:4">
      <c r="A264" s="55"/>
      <c r="B264" s="55"/>
      <c r="C264" s="56"/>
      <c r="D264" s="55"/>
    </row>
    <row r="333" spans="1:2">
      <c r="A333" s="1"/>
      <c r="B333" s="1"/>
    </row>
    <row r="350" spans="1:2">
      <c r="A350" s="55"/>
      <c r="B350" s="55"/>
    </row>
    <row r="351" spans="1:2">
      <c r="A351" s="55"/>
      <c r="B351" s="55"/>
    </row>
    <row r="352" spans="1:2">
      <c r="A352" s="55"/>
      <c r="B352" s="55"/>
    </row>
    <row r="353" spans="1:2">
      <c r="A353" s="55"/>
      <c r="B353" s="55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4"/>
  <sheetViews>
    <sheetView workbookViewId="0">
      <selection activeCell="Q15" sqref="Q15"/>
    </sheetView>
  </sheetViews>
  <sheetFormatPr defaultColWidth="10.85546875" defaultRowHeight="12"/>
  <cols>
    <col min="1" max="1" width="6.85546875" style="3" customWidth="1"/>
    <col min="2" max="2" width="8.42578125" style="3" hidden="1" customWidth="1"/>
    <col min="3" max="3" width="29" style="28" customWidth="1"/>
    <col min="4" max="4" width="1.7109375" style="3" customWidth="1"/>
    <col min="5" max="5" width="10.7109375" style="3" hidden="1" customWidth="1"/>
    <col min="6" max="6" width="1.7109375" style="3" hidden="1" customWidth="1"/>
    <col min="7" max="7" width="10.7109375" style="3" hidden="1" customWidth="1"/>
    <col min="8" max="8" width="1.7109375" style="3" hidden="1" customWidth="1"/>
    <col min="9" max="9" width="10.7109375" style="3" customWidth="1"/>
    <col min="10" max="10" width="2.7109375" style="3" customWidth="1"/>
    <col min="11" max="11" width="11.85546875" style="3" customWidth="1"/>
    <col min="12" max="12" width="1.7109375" style="3" customWidth="1"/>
    <col min="13" max="13" width="10.85546875" style="3"/>
    <col min="14" max="14" width="1.7109375" style="3" customWidth="1"/>
    <col min="15" max="15" width="10.85546875" style="3"/>
    <col min="16" max="16" width="1.7109375" style="3" customWidth="1"/>
    <col min="17" max="17" width="10.85546875" style="3"/>
    <col min="18" max="18" width="1.7109375" style="3" customWidth="1"/>
    <col min="19" max="16384" width="10.85546875" style="3"/>
  </cols>
  <sheetData>
    <row r="1" spans="1:17">
      <c r="A1" s="1" t="s">
        <v>0</v>
      </c>
      <c r="B1" s="1"/>
      <c r="C1" s="2"/>
      <c r="E1" s="1"/>
      <c r="F1" s="1"/>
      <c r="G1" s="1"/>
      <c r="H1" s="1"/>
      <c r="I1" s="4" t="s">
        <v>1</v>
      </c>
      <c r="K1" s="4"/>
    </row>
    <row r="2" spans="1:17">
      <c r="A2" s="1"/>
      <c r="B2" s="1"/>
      <c r="C2" s="2"/>
      <c r="E2" s="1"/>
      <c r="F2" s="1"/>
      <c r="G2" s="1"/>
      <c r="H2" s="1"/>
      <c r="I2" s="4"/>
      <c r="K2" s="4"/>
    </row>
    <row r="3" spans="1:17">
      <c r="A3" s="1" t="s">
        <v>78</v>
      </c>
      <c r="B3" s="1"/>
      <c r="C3" s="2"/>
      <c r="E3" s="1"/>
      <c r="F3" s="1"/>
      <c r="G3" s="1"/>
      <c r="H3" s="1"/>
      <c r="I3" s="4"/>
      <c r="K3" s="4"/>
    </row>
    <row r="4" spans="1:17">
      <c r="A4" s="1" t="s">
        <v>4</v>
      </c>
      <c r="B4" s="1"/>
      <c r="C4" s="2"/>
      <c r="E4" s="1"/>
      <c r="F4" s="1"/>
      <c r="G4" s="1"/>
      <c r="H4" s="1"/>
      <c r="I4" s="5"/>
      <c r="K4" s="4"/>
    </row>
    <row r="5" spans="1:17">
      <c r="A5" s="1" t="s">
        <v>6</v>
      </c>
      <c r="B5" s="1"/>
      <c r="C5" s="2"/>
      <c r="E5" s="1"/>
      <c r="F5" s="1"/>
      <c r="G5" s="1"/>
      <c r="H5" s="1"/>
      <c r="I5" s="4"/>
      <c r="K5" s="4"/>
    </row>
    <row r="6" spans="1:17">
      <c r="A6" s="1" t="s">
        <v>8</v>
      </c>
      <c r="B6" s="1"/>
      <c r="C6" s="2"/>
      <c r="D6" s="1"/>
      <c r="E6" s="1"/>
      <c r="F6" s="1"/>
      <c r="G6" s="1"/>
      <c r="H6" s="1"/>
      <c r="I6" s="4"/>
      <c r="J6" s="4"/>
      <c r="K6" s="4"/>
    </row>
    <row r="7" spans="1:17">
      <c r="A7" s="1" t="s">
        <v>9</v>
      </c>
      <c r="B7" s="1"/>
      <c r="C7" s="2"/>
      <c r="D7" s="1"/>
      <c r="E7" s="1"/>
      <c r="F7" s="1"/>
      <c r="G7" s="1"/>
      <c r="H7" s="1"/>
      <c r="I7" s="1"/>
      <c r="J7" s="1"/>
      <c r="K7" s="1"/>
    </row>
    <row r="8" spans="1:17">
      <c r="A8" s="6" t="s">
        <v>10</v>
      </c>
      <c r="B8" s="6"/>
      <c r="C8" s="2"/>
      <c r="D8" s="1"/>
      <c r="E8" s="1"/>
      <c r="F8" s="1"/>
      <c r="G8" s="1"/>
      <c r="H8" s="1"/>
      <c r="I8" s="1"/>
      <c r="J8" s="1"/>
      <c r="K8" s="1"/>
    </row>
    <row r="9" spans="1:17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>
      <c r="A10" s="9"/>
      <c r="B10" s="10" t="s">
        <v>11</v>
      </c>
      <c r="C10" s="11"/>
      <c r="D10" s="12"/>
      <c r="E10" s="11"/>
      <c r="G10" s="11"/>
      <c r="H10" s="13"/>
      <c r="I10" s="11"/>
      <c r="K10" s="11"/>
      <c r="L10" s="11"/>
      <c r="M10" s="11"/>
      <c r="N10" s="11"/>
      <c r="O10" s="11"/>
      <c r="Q10" s="11"/>
    </row>
    <row r="11" spans="1:17">
      <c r="C11" s="2"/>
      <c r="D11" s="1"/>
      <c r="E11" s="12" t="s">
        <v>12</v>
      </c>
      <c r="F11" s="1"/>
      <c r="G11" s="12" t="s">
        <v>12</v>
      </c>
      <c r="H11" s="1"/>
      <c r="J11" s="12"/>
      <c r="K11" s="12"/>
      <c r="L11" s="12"/>
      <c r="M11" s="12" t="s">
        <v>184</v>
      </c>
      <c r="O11" s="12" t="s">
        <v>183</v>
      </c>
      <c r="Q11" s="12" t="s">
        <v>184</v>
      </c>
    </row>
    <row r="12" spans="1:17">
      <c r="A12" s="12" t="s">
        <v>14</v>
      </c>
      <c r="B12" s="12" t="s">
        <v>15</v>
      </c>
      <c r="C12" s="2"/>
      <c r="D12" s="1"/>
      <c r="E12" s="12" t="s">
        <v>16</v>
      </c>
      <c r="F12" s="1"/>
      <c r="G12" s="12" t="s">
        <v>16</v>
      </c>
      <c r="H12" s="1"/>
      <c r="I12" s="12" t="s">
        <v>13</v>
      </c>
      <c r="J12" s="12"/>
      <c r="K12" s="12" t="s">
        <v>18</v>
      </c>
      <c r="L12" s="12"/>
      <c r="M12" s="12" t="s">
        <v>185</v>
      </c>
      <c r="O12" s="12" t="s">
        <v>182</v>
      </c>
      <c r="Q12" s="12" t="s">
        <v>185</v>
      </c>
    </row>
    <row r="13" spans="1:17" ht="14.25">
      <c r="A13" s="14" t="s">
        <v>19</v>
      </c>
      <c r="B13" s="14" t="s">
        <v>20</v>
      </c>
      <c r="C13" s="15" t="s">
        <v>21</v>
      </c>
      <c r="D13" s="16"/>
      <c r="E13" s="17" t="s">
        <v>70</v>
      </c>
      <c r="F13" s="17"/>
      <c r="G13" s="17" t="s">
        <v>71</v>
      </c>
      <c r="H13" s="17"/>
      <c r="I13" s="130" t="s">
        <v>17</v>
      </c>
      <c r="J13" s="18"/>
      <c r="K13" s="14" t="s">
        <v>17</v>
      </c>
      <c r="L13" s="124"/>
      <c r="M13" s="125" t="s">
        <v>186</v>
      </c>
      <c r="O13" s="14" t="s">
        <v>17</v>
      </c>
      <c r="Q13" s="14" t="s">
        <v>186</v>
      </c>
    </row>
    <row r="14" spans="1:17">
      <c r="A14" s="19">
        <v>1</v>
      </c>
      <c r="B14" s="19"/>
      <c r="C14" s="20" t="s">
        <v>24</v>
      </c>
      <c r="I14" s="21"/>
      <c r="J14" s="21"/>
      <c r="K14" s="21"/>
    </row>
    <row r="15" spans="1:17">
      <c r="A15" s="19">
        <v>2</v>
      </c>
      <c r="B15" s="19">
        <v>68001</v>
      </c>
      <c r="C15" s="22" t="s">
        <v>25</v>
      </c>
      <c r="D15" s="23"/>
      <c r="E15" s="24">
        <v>11.23</v>
      </c>
      <c r="F15" s="25"/>
      <c r="G15" s="24">
        <v>11.3</v>
      </c>
      <c r="H15" s="26"/>
      <c r="I15" s="122">
        <v>11.37</v>
      </c>
      <c r="J15" s="27"/>
      <c r="K15" s="122">
        <v>23.7</v>
      </c>
      <c r="M15" s="126">
        <f>+K15/I15-1</f>
        <v>1.0844327176781006</v>
      </c>
      <c r="O15" s="122">
        <f>+'Water Rate Design'!I9</f>
        <v>11.54</v>
      </c>
      <c r="Q15" s="126">
        <f>+O15/I15-1</f>
        <v>1.4951627088830355E-2</v>
      </c>
    </row>
    <row r="16" spans="1:17">
      <c r="A16" s="19"/>
      <c r="B16" s="19"/>
      <c r="C16" s="22" t="s">
        <v>26</v>
      </c>
      <c r="D16" s="23"/>
      <c r="E16" s="24"/>
      <c r="F16" s="25"/>
      <c r="G16" s="24"/>
      <c r="H16" s="26"/>
      <c r="I16" s="122"/>
      <c r="J16" s="27"/>
      <c r="K16" s="122"/>
      <c r="M16" s="126"/>
      <c r="O16" s="122">
        <f>+'Water Rate Design'!I10</f>
        <v>17.309999999999999</v>
      </c>
      <c r="Q16" s="126"/>
    </row>
    <row r="17" spans="1:17">
      <c r="A17" s="19">
        <v>4</v>
      </c>
      <c r="B17" s="19">
        <v>68003</v>
      </c>
      <c r="C17" s="29" t="s">
        <v>27</v>
      </c>
      <c r="D17" s="30"/>
      <c r="E17" s="24">
        <v>28.07</v>
      </c>
      <c r="F17" s="25"/>
      <c r="G17" s="24">
        <v>28.25</v>
      </c>
      <c r="H17" s="26"/>
      <c r="I17" s="122">
        <v>28.41</v>
      </c>
      <c r="J17" s="31"/>
      <c r="K17" s="122">
        <v>59.21</v>
      </c>
      <c r="M17" s="126">
        <f t="shared" ref="M17:M22" si="0">+K17/I17-1</f>
        <v>1.0841253079901443</v>
      </c>
      <c r="O17" s="122">
        <f>+'Water Rate Design'!I11</f>
        <v>28.84</v>
      </c>
      <c r="Q17" s="126">
        <f t="shared" ref="Q17:Q22" si="1">+O17/I17-1</f>
        <v>1.5135515663498689E-2</v>
      </c>
    </row>
    <row r="18" spans="1:17">
      <c r="A18" s="19">
        <v>5</v>
      </c>
      <c r="B18" s="19">
        <v>68004</v>
      </c>
      <c r="C18" s="29" t="s">
        <v>28</v>
      </c>
      <c r="D18" s="30"/>
      <c r="E18" s="24">
        <v>56.13</v>
      </c>
      <c r="F18" s="25"/>
      <c r="G18" s="24">
        <v>56.48</v>
      </c>
      <c r="H18" s="26"/>
      <c r="I18" s="122">
        <v>56.81</v>
      </c>
      <c r="J18" s="27"/>
      <c r="K18" s="122">
        <v>118.41</v>
      </c>
      <c r="M18" s="126">
        <f t="shared" si="0"/>
        <v>1.0843161415243792</v>
      </c>
      <c r="O18" s="122">
        <f>+'Water Rate Design'!I12</f>
        <v>57.69</v>
      </c>
      <c r="Q18" s="126">
        <f t="shared" si="1"/>
        <v>1.5490230593205423E-2</v>
      </c>
    </row>
    <row r="19" spans="1:17">
      <c r="A19" s="19">
        <v>6</v>
      </c>
      <c r="B19" s="19"/>
      <c r="C19" s="29" t="s">
        <v>29</v>
      </c>
      <c r="D19" s="30"/>
      <c r="E19" s="24">
        <v>89.81</v>
      </c>
      <c r="F19" s="25"/>
      <c r="G19" s="24">
        <v>90.38</v>
      </c>
      <c r="H19" s="26"/>
      <c r="I19" s="122">
        <v>90.9</v>
      </c>
      <c r="J19" s="27"/>
      <c r="K19" s="122">
        <v>189.46</v>
      </c>
      <c r="M19" s="126">
        <f t="shared" si="0"/>
        <v>1.0842684268426841</v>
      </c>
      <c r="O19" s="122">
        <f>+'Water Rate Design'!I13</f>
        <v>92.3</v>
      </c>
      <c r="Q19" s="126">
        <f t="shared" si="1"/>
        <v>1.5401540154015292E-2</v>
      </c>
    </row>
    <row r="20" spans="1:17">
      <c r="A20" s="19">
        <v>7</v>
      </c>
      <c r="B20" s="19"/>
      <c r="C20" s="29" t="s">
        <v>30</v>
      </c>
      <c r="D20" s="30"/>
      <c r="E20" s="24">
        <v>179.62</v>
      </c>
      <c r="F20" s="25"/>
      <c r="G20" s="24">
        <v>180.75</v>
      </c>
      <c r="H20" s="26"/>
      <c r="I20" s="122">
        <v>181.9</v>
      </c>
      <c r="J20" s="27"/>
      <c r="K20" s="122">
        <v>379.12</v>
      </c>
      <c r="M20" s="126">
        <f t="shared" si="0"/>
        <v>1.0842221000549754</v>
      </c>
      <c r="O20" s="122">
        <f>+'Water Rate Design'!I14</f>
        <v>184.59</v>
      </c>
      <c r="Q20" s="126">
        <f t="shared" si="1"/>
        <v>1.4788345244639789E-2</v>
      </c>
    </row>
    <row r="21" spans="1:17">
      <c r="A21" s="19">
        <v>8</v>
      </c>
      <c r="B21" s="19"/>
      <c r="C21" s="29" t="s">
        <v>31</v>
      </c>
      <c r="D21" s="30"/>
      <c r="E21" s="24">
        <v>280.66000000000003</v>
      </c>
      <c r="F21" s="25"/>
      <c r="G21" s="24">
        <v>282.43</v>
      </c>
      <c r="H21" s="26"/>
      <c r="I21" s="122">
        <v>284.07</v>
      </c>
      <c r="J21" s="27"/>
      <c r="K21" s="122">
        <v>592.07000000000005</v>
      </c>
      <c r="M21" s="126">
        <f t="shared" si="0"/>
        <v>1.0842398000492839</v>
      </c>
      <c r="O21" s="122">
        <f>+'Water Rate Design'!I15</f>
        <v>288.43</v>
      </c>
      <c r="Q21" s="126">
        <f t="shared" si="1"/>
        <v>1.5348329637061342E-2</v>
      </c>
    </row>
    <row r="22" spans="1:17">
      <c r="A22" s="19">
        <v>9</v>
      </c>
      <c r="B22" s="19"/>
      <c r="C22" s="29" t="s">
        <v>32</v>
      </c>
      <c r="D22" s="30"/>
      <c r="E22" s="24">
        <v>561.30999999999995</v>
      </c>
      <c r="F22" s="25"/>
      <c r="G22" s="24">
        <v>564.85</v>
      </c>
      <c r="H22" s="26"/>
      <c r="I22" s="122">
        <v>568.13</v>
      </c>
      <c r="J22" s="27"/>
      <c r="K22" s="122">
        <v>1184.1099999999999</v>
      </c>
      <c r="M22" s="126">
        <f t="shared" si="0"/>
        <v>1.0842236811997252</v>
      </c>
      <c r="O22" s="122">
        <f>+'Water Rate Design'!I16</f>
        <v>576.86</v>
      </c>
      <c r="Q22" s="126">
        <f t="shared" si="1"/>
        <v>1.5366201397567503E-2</v>
      </c>
    </row>
    <row r="23" spans="1:17">
      <c r="A23" s="19">
        <v>10</v>
      </c>
      <c r="B23" s="19"/>
      <c r="C23" s="22"/>
      <c r="D23" s="30"/>
      <c r="E23" s="26"/>
      <c r="F23" s="25"/>
      <c r="G23" s="26"/>
      <c r="H23" s="26"/>
      <c r="J23" s="27"/>
      <c r="M23" s="126"/>
    </row>
    <row r="24" spans="1:17">
      <c r="A24" s="19">
        <v>11</v>
      </c>
      <c r="B24" s="19"/>
      <c r="C24" s="33" t="s">
        <v>33</v>
      </c>
      <c r="D24" s="30"/>
      <c r="E24" s="34">
        <v>6.35</v>
      </c>
      <c r="F24" s="25"/>
      <c r="G24" s="34">
        <v>6.39</v>
      </c>
      <c r="H24" s="25"/>
      <c r="I24" s="122">
        <v>6.43</v>
      </c>
      <c r="J24" s="27"/>
      <c r="K24" s="122">
        <v>13.4</v>
      </c>
      <c r="M24" s="126">
        <f>+K24/I24-1</f>
        <v>1.08398133748056</v>
      </c>
    </row>
    <row r="25" spans="1:17">
      <c r="A25" s="19"/>
      <c r="B25" s="19"/>
      <c r="C25" s="33" t="str">
        <f>+'Water Rate Design'!B40</f>
        <v>0-8k</v>
      </c>
      <c r="D25" s="30"/>
      <c r="E25" s="34"/>
      <c r="F25" s="25"/>
      <c r="G25" s="34"/>
      <c r="H25" s="25"/>
      <c r="I25" s="122"/>
      <c r="J25" s="31"/>
      <c r="K25" s="122"/>
      <c r="M25" s="126"/>
      <c r="O25" s="122">
        <f>+'Water Rate Design'!I40</f>
        <v>1.97</v>
      </c>
      <c r="Q25" s="126">
        <f>O25/I$24-1</f>
        <v>-0.69362363919129089</v>
      </c>
    </row>
    <row r="26" spans="1:17">
      <c r="A26" s="19"/>
      <c r="B26" s="19"/>
      <c r="C26" s="33" t="str">
        <f>+'Water Rate Design'!B41</f>
        <v>8-16k</v>
      </c>
      <c r="D26" s="30"/>
      <c r="E26" s="34"/>
      <c r="F26" s="25"/>
      <c r="G26" s="34"/>
      <c r="H26" s="25"/>
      <c r="I26" s="122"/>
      <c r="J26" s="31"/>
      <c r="K26" s="122"/>
      <c r="M26" s="126"/>
      <c r="O26" s="122">
        <f>+'Water Rate Design'!I41</f>
        <v>2.95</v>
      </c>
      <c r="Q26" s="126">
        <f t="shared" ref="Q26:Q27" si="2">O26/I$24-1</f>
        <v>-0.54121306376360812</v>
      </c>
    </row>
    <row r="27" spans="1:17">
      <c r="A27" s="19"/>
      <c r="B27" s="19"/>
      <c r="C27" s="33" t="str">
        <f>+'Water Rate Design'!B42</f>
        <v>+16k</v>
      </c>
      <c r="D27" s="30"/>
      <c r="E27" s="34"/>
      <c r="F27" s="25"/>
      <c r="G27" s="34"/>
      <c r="H27" s="25"/>
      <c r="I27" s="122"/>
      <c r="J27" s="31"/>
      <c r="K27" s="122"/>
      <c r="M27" s="126"/>
      <c r="O27" s="122">
        <f>+'Water Rate Design'!I42</f>
        <v>3.93</v>
      </c>
      <c r="Q27" s="126">
        <f t="shared" si="2"/>
        <v>-0.38880248833592534</v>
      </c>
    </row>
    <row r="28" spans="1:17">
      <c r="A28" s="19">
        <v>15</v>
      </c>
      <c r="B28" s="19"/>
      <c r="C28" s="38"/>
      <c r="D28" s="30"/>
      <c r="E28" s="35"/>
      <c r="F28" s="35"/>
      <c r="G28" s="39"/>
      <c r="H28" s="40"/>
      <c r="J28" s="27"/>
      <c r="M28" s="126"/>
    </row>
    <row r="29" spans="1:17">
      <c r="A29" s="19">
        <v>16</v>
      </c>
      <c r="B29" s="19"/>
      <c r="C29" s="41" t="s">
        <v>37</v>
      </c>
      <c r="D29" s="42"/>
      <c r="E29" s="43"/>
      <c r="F29" s="43"/>
      <c r="G29" s="43"/>
      <c r="H29" s="44"/>
      <c r="J29" s="27"/>
      <c r="M29" s="126"/>
    </row>
    <row r="30" spans="1:17">
      <c r="A30" s="19">
        <v>17</v>
      </c>
      <c r="B30" s="19">
        <v>68006</v>
      </c>
      <c r="C30" s="22" t="s">
        <v>38</v>
      </c>
      <c r="D30" s="23"/>
      <c r="E30" s="24">
        <v>11.23</v>
      </c>
      <c r="F30" s="25"/>
      <c r="G30" s="24">
        <v>11.3</v>
      </c>
      <c r="H30" s="26"/>
      <c r="I30" s="122">
        <v>11.37</v>
      </c>
      <c r="J30" s="27"/>
      <c r="K30" s="122">
        <f>+K15</f>
        <v>23.7</v>
      </c>
      <c r="M30" s="126">
        <f>+K30/I30-1</f>
        <v>1.0844327176781006</v>
      </c>
      <c r="O30" s="122">
        <f>+O15</f>
        <v>11.54</v>
      </c>
      <c r="Q30" s="126">
        <f>+O30/I30-1</f>
        <v>1.4951627088830355E-2</v>
      </c>
    </row>
    <row r="31" spans="1:17">
      <c r="A31" s="19"/>
      <c r="B31" s="19"/>
      <c r="C31" s="22" t="s">
        <v>26</v>
      </c>
      <c r="D31" s="23"/>
      <c r="E31" s="24"/>
      <c r="F31" s="25"/>
      <c r="G31" s="24"/>
      <c r="H31" s="26"/>
      <c r="I31" s="122"/>
      <c r="J31" s="27"/>
      <c r="K31" s="122"/>
      <c r="M31" s="126"/>
      <c r="O31" s="122">
        <f t="shared" ref="O31:O37" si="3">+O16</f>
        <v>17.309999999999999</v>
      </c>
      <c r="Q31" s="126"/>
    </row>
    <row r="32" spans="1:17">
      <c r="A32" s="19">
        <v>19</v>
      </c>
      <c r="B32" s="19">
        <v>68007</v>
      </c>
      <c r="C32" s="29" t="s">
        <v>27</v>
      </c>
      <c r="D32" s="30"/>
      <c r="E32" s="24">
        <v>28.07</v>
      </c>
      <c r="F32" s="25"/>
      <c r="G32" s="24">
        <v>28.25</v>
      </c>
      <c r="H32" s="26"/>
      <c r="I32" s="122">
        <v>28.41</v>
      </c>
      <c r="J32" s="27"/>
      <c r="K32" s="122">
        <f t="shared" ref="K32:K37" si="4">+K17</f>
        <v>59.21</v>
      </c>
      <c r="M32" s="126">
        <f t="shared" ref="M32:M37" si="5">+K32/I32-1</f>
        <v>1.0841253079901443</v>
      </c>
      <c r="O32" s="122">
        <f t="shared" si="3"/>
        <v>28.84</v>
      </c>
      <c r="Q32" s="126">
        <f t="shared" ref="Q32:Q37" si="6">+O32/I32-1</f>
        <v>1.5135515663498689E-2</v>
      </c>
    </row>
    <row r="33" spans="1:17">
      <c r="A33" s="19">
        <v>20</v>
      </c>
      <c r="B33" s="19">
        <v>68008</v>
      </c>
      <c r="C33" s="29" t="s">
        <v>28</v>
      </c>
      <c r="D33" s="30"/>
      <c r="E33" s="24">
        <v>56.13</v>
      </c>
      <c r="F33" s="25"/>
      <c r="G33" s="24">
        <v>56.48</v>
      </c>
      <c r="H33" s="26"/>
      <c r="I33" s="122">
        <v>56.81</v>
      </c>
      <c r="J33" s="27"/>
      <c r="K33" s="122">
        <f t="shared" si="4"/>
        <v>118.41</v>
      </c>
      <c r="M33" s="126">
        <f t="shared" si="5"/>
        <v>1.0843161415243792</v>
      </c>
      <c r="O33" s="122">
        <f t="shared" si="3"/>
        <v>57.69</v>
      </c>
      <c r="Q33" s="126">
        <f t="shared" si="6"/>
        <v>1.5490230593205423E-2</v>
      </c>
    </row>
    <row r="34" spans="1:17">
      <c r="A34" s="19">
        <v>21</v>
      </c>
      <c r="B34" s="19">
        <v>68009</v>
      </c>
      <c r="C34" s="29" t="s">
        <v>29</v>
      </c>
      <c r="D34" s="30"/>
      <c r="E34" s="24">
        <v>89.81</v>
      </c>
      <c r="F34" s="25"/>
      <c r="G34" s="24">
        <v>90.38</v>
      </c>
      <c r="H34" s="26"/>
      <c r="I34" s="122">
        <v>90.9</v>
      </c>
      <c r="J34" s="27"/>
      <c r="K34" s="122">
        <f t="shared" si="4"/>
        <v>189.46</v>
      </c>
      <c r="M34" s="126">
        <f t="shared" si="5"/>
        <v>1.0842684268426841</v>
      </c>
      <c r="O34" s="122">
        <f t="shared" si="3"/>
        <v>92.3</v>
      </c>
      <c r="Q34" s="126">
        <f t="shared" si="6"/>
        <v>1.5401540154015292E-2</v>
      </c>
    </row>
    <row r="35" spans="1:17">
      <c r="A35" s="19">
        <v>22</v>
      </c>
      <c r="B35" s="19">
        <v>68005</v>
      </c>
      <c r="C35" s="29" t="s">
        <v>30</v>
      </c>
      <c r="D35" s="30"/>
      <c r="E35" s="24">
        <v>179.62</v>
      </c>
      <c r="F35" s="25"/>
      <c r="G35" s="24">
        <v>180.75</v>
      </c>
      <c r="H35" s="26"/>
      <c r="I35" s="122">
        <v>181.9</v>
      </c>
      <c r="J35" s="27"/>
      <c r="K35" s="122">
        <f t="shared" si="4"/>
        <v>379.12</v>
      </c>
      <c r="M35" s="126">
        <f t="shared" si="5"/>
        <v>1.0842221000549754</v>
      </c>
      <c r="O35" s="122">
        <f t="shared" si="3"/>
        <v>184.59</v>
      </c>
      <c r="Q35" s="126">
        <f t="shared" si="6"/>
        <v>1.4788345244639789E-2</v>
      </c>
    </row>
    <row r="36" spans="1:17">
      <c r="A36" s="19">
        <v>23</v>
      </c>
      <c r="B36" s="19">
        <v>68016</v>
      </c>
      <c r="C36" s="29" t="s">
        <v>31</v>
      </c>
      <c r="D36" s="30"/>
      <c r="E36" s="24">
        <v>280.66000000000003</v>
      </c>
      <c r="F36" s="25"/>
      <c r="G36" s="24">
        <v>282.43</v>
      </c>
      <c r="H36" s="26"/>
      <c r="I36" s="122">
        <v>284.07</v>
      </c>
      <c r="J36" s="31"/>
      <c r="K36" s="122">
        <f t="shared" si="4"/>
        <v>592.07000000000005</v>
      </c>
      <c r="M36" s="126">
        <f t="shared" si="5"/>
        <v>1.0842398000492839</v>
      </c>
      <c r="O36" s="122">
        <f t="shared" si="3"/>
        <v>288.43</v>
      </c>
      <c r="Q36" s="126">
        <f t="shared" si="6"/>
        <v>1.5348329637061342E-2</v>
      </c>
    </row>
    <row r="37" spans="1:17">
      <c r="A37" s="19">
        <v>24</v>
      </c>
      <c r="B37" s="19">
        <v>68017</v>
      </c>
      <c r="C37" s="29" t="s">
        <v>32</v>
      </c>
      <c r="D37" s="30"/>
      <c r="E37" s="24">
        <v>561.30999999999995</v>
      </c>
      <c r="F37" s="25"/>
      <c r="G37" s="24">
        <v>564.85</v>
      </c>
      <c r="H37" s="26"/>
      <c r="I37" s="122">
        <v>568.13</v>
      </c>
      <c r="J37" s="36"/>
      <c r="K37" s="122">
        <f t="shared" si="4"/>
        <v>1184.1099999999999</v>
      </c>
      <c r="M37" s="126">
        <f t="shared" si="5"/>
        <v>1.0842236811997252</v>
      </c>
      <c r="O37" s="122">
        <f t="shared" si="3"/>
        <v>576.86</v>
      </c>
      <c r="Q37" s="126">
        <f t="shared" si="6"/>
        <v>1.5366201397567503E-2</v>
      </c>
    </row>
    <row r="38" spans="1:17">
      <c r="A38" s="19">
        <v>25</v>
      </c>
      <c r="B38" s="19">
        <v>68018</v>
      </c>
      <c r="C38" s="22"/>
      <c r="D38" s="30"/>
      <c r="E38" s="26"/>
      <c r="F38" s="25"/>
      <c r="G38" s="26"/>
      <c r="H38" s="26"/>
      <c r="J38" s="36"/>
      <c r="M38" s="126"/>
    </row>
    <row r="39" spans="1:17">
      <c r="A39" s="19">
        <v>26</v>
      </c>
      <c r="B39" s="19"/>
      <c r="C39" s="33" t="s">
        <v>33</v>
      </c>
      <c r="E39" s="34">
        <v>6.34</v>
      </c>
      <c r="F39" s="46"/>
      <c r="G39" s="34">
        <v>6.38</v>
      </c>
      <c r="H39" s="47"/>
      <c r="I39" s="122">
        <v>6.42</v>
      </c>
      <c r="J39" s="27"/>
      <c r="K39" s="122">
        <v>13.38</v>
      </c>
      <c r="M39" s="126">
        <f>+K39/I39-1</f>
        <v>1.0841121495327104</v>
      </c>
      <c r="O39" s="122">
        <f>+'Water Rate Design'!I45</f>
        <v>2.98</v>
      </c>
      <c r="Q39" s="126">
        <f>+O39/I39-1</f>
        <v>-0.53582554517133962</v>
      </c>
    </row>
    <row r="40" spans="1:17">
      <c r="A40" s="19"/>
      <c r="B40" s="19"/>
      <c r="C40" s="3"/>
      <c r="J40" s="27"/>
      <c r="K40" s="27"/>
    </row>
    <row r="41" spans="1:17">
      <c r="A41" s="19"/>
      <c r="C41" s="3"/>
      <c r="E41" s="36"/>
      <c r="F41" s="36"/>
      <c r="G41" s="36"/>
      <c r="H41" s="36"/>
      <c r="I41" s="36"/>
      <c r="J41" s="27"/>
      <c r="K41" s="27"/>
    </row>
    <row r="42" spans="1:17">
      <c r="A42" s="12"/>
      <c r="B42" s="12"/>
      <c r="C42" s="29"/>
      <c r="D42" s="48"/>
      <c r="J42" s="21"/>
      <c r="K42" s="21"/>
    </row>
    <row r="43" spans="1:17">
      <c r="A43" s="12"/>
      <c r="B43" s="12"/>
      <c r="C43" s="29"/>
      <c r="J43" s="21"/>
      <c r="K43" s="21"/>
    </row>
    <row r="44" spans="1:17">
      <c r="A44" s="12"/>
      <c r="B44" s="12"/>
      <c r="C44" s="29"/>
      <c r="I44" s="49"/>
      <c r="J44" s="21"/>
      <c r="K44" s="21"/>
    </row>
    <row r="45" spans="1:17">
      <c r="A45" s="12"/>
      <c r="B45" s="12"/>
      <c r="C45" s="29"/>
      <c r="E45" s="50"/>
      <c r="F45" s="50"/>
      <c r="G45" s="50"/>
      <c r="H45" s="50"/>
      <c r="I45" s="51"/>
      <c r="J45" s="51"/>
      <c r="K45" s="51"/>
    </row>
    <row r="46" spans="1:17">
      <c r="A46" s="12"/>
      <c r="B46" s="12"/>
      <c r="C46" s="29"/>
      <c r="I46" s="21"/>
      <c r="J46" s="21"/>
      <c r="K46" s="21"/>
    </row>
    <row r="47" spans="1:17">
      <c r="A47" s="12"/>
      <c r="B47" s="12"/>
      <c r="C47" s="52"/>
      <c r="I47" s="21"/>
      <c r="J47" s="21"/>
      <c r="K47" s="21"/>
    </row>
    <row r="48" spans="1:17">
      <c r="A48" s="12"/>
      <c r="B48" s="12"/>
      <c r="C48" s="52"/>
      <c r="I48" s="21"/>
      <c r="J48" s="21"/>
      <c r="K48" s="21"/>
    </row>
    <row r="49" spans="1:11">
      <c r="A49" s="12"/>
      <c r="B49" s="12"/>
      <c r="C49" s="53"/>
      <c r="I49" s="21"/>
      <c r="J49" s="21"/>
      <c r="K49" s="21"/>
    </row>
    <row r="50" spans="1:11">
      <c r="A50" s="12"/>
      <c r="B50" s="12"/>
      <c r="C50" s="29"/>
      <c r="I50" s="21"/>
      <c r="J50" s="21"/>
      <c r="K50" s="21"/>
    </row>
    <row r="51" spans="1:11">
      <c r="A51" s="12"/>
      <c r="B51" s="12"/>
      <c r="C51" s="29"/>
      <c r="I51" s="21"/>
      <c r="J51" s="21"/>
      <c r="K51" s="21"/>
    </row>
    <row r="52" spans="1:11">
      <c r="A52" s="12"/>
      <c r="B52" s="12"/>
      <c r="C52" s="29"/>
      <c r="I52" s="21"/>
      <c r="J52" s="21"/>
      <c r="K52" s="21"/>
    </row>
    <row r="53" spans="1:11">
      <c r="A53" s="12"/>
      <c r="B53" s="12"/>
      <c r="C53" s="29"/>
      <c r="I53" s="21"/>
      <c r="J53" s="21"/>
      <c r="K53" s="21"/>
    </row>
    <row r="54" spans="1:11">
      <c r="A54" s="12"/>
      <c r="B54" s="12"/>
      <c r="C54" s="29"/>
      <c r="I54" s="21"/>
      <c r="J54" s="21"/>
      <c r="K54" s="21"/>
    </row>
    <row r="55" spans="1:11">
      <c r="A55" s="12"/>
      <c r="B55" s="12"/>
      <c r="C55" s="29"/>
      <c r="I55" s="21"/>
      <c r="J55" s="21"/>
      <c r="K55" s="21"/>
    </row>
    <row r="56" spans="1:11">
      <c r="A56" s="12"/>
      <c r="B56" s="12"/>
      <c r="C56" s="29"/>
      <c r="I56" s="21"/>
      <c r="J56" s="21"/>
      <c r="K56" s="21"/>
    </row>
    <row r="57" spans="1:11">
      <c r="A57" s="12"/>
      <c r="B57" s="12"/>
      <c r="C57" s="41"/>
      <c r="I57" s="21"/>
      <c r="J57" s="21"/>
      <c r="K57" s="21"/>
    </row>
    <row r="58" spans="1:11">
      <c r="A58" s="12"/>
      <c r="B58" s="12"/>
      <c r="C58" s="29"/>
      <c r="I58" s="21"/>
      <c r="J58" s="21"/>
      <c r="K58" s="21"/>
    </row>
    <row r="59" spans="1:11">
      <c r="A59" s="12"/>
      <c r="B59" s="12"/>
      <c r="C59" s="29"/>
      <c r="I59" s="21"/>
      <c r="J59" s="21"/>
      <c r="K59" s="21"/>
    </row>
    <row r="60" spans="1:11">
      <c r="A60" s="12"/>
      <c r="B60" s="12"/>
      <c r="C60" s="29"/>
      <c r="I60" s="21"/>
      <c r="J60" s="21"/>
      <c r="K60" s="21"/>
    </row>
    <row r="61" spans="1:11">
      <c r="A61" s="12"/>
      <c r="B61" s="12"/>
      <c r="C61" s="29"/>
      <c r="I61" s="21"/>
      <c r="J61" s="21"/>
      <c r="K61" s="21"/>
    </row>
    <row r="62" spans="1:11">
      <c r="A62" s="12"/>
      <c r="B62" s="12"/>
      <c r="C62" s="29"/>
      <c r="I62" s="21"/>
      <c r="J62" s="21"/>
      <c r="K62" s="21"/>
    </row>
    <row r="63" spans="1:11">
      <c r="A63" s="12"/>
      <c r="B63" s="12"/>
      <c r="C63" s="29"/>
      <c r="I63" s="21"/>
      <c r="J63" s="21"/>
      <c r="K63" s="21"/>
    </row>
    <row r="64" spans="1:11">
      <c r="A64" s="12"/>
      <c r="B64" s="12"/>
      <c r="C64" s="29"/>
    </row>
    <row r="101" spans="9:9">
      <c r="I101" s="54"/>
    </row>
    <row r="104" spans="9:9">
      <c r="I104" s="54"/>
    </row>
    <row r="227" spans="1:8">
      <c r="E227" s="55"/>
      <c r="F227" s="55"/>
      <c r="G227" s="55"/>
      <c r="H227" s="55"/>
    </row>
    <row r="228" spans="1:8">
      <c r="E228" s="55"/>
      <c r="F228" s="55"/>
      <c r="G228" s="55"/>
      <c r="H228" s="55"/>
    </row>
    <row r="229" spans="1:8">
      <c r="E229" s="55"/>
      <c r="F229" s="55"/>
      <c r="G229" s="55"/>
      <c r="H229" s="55"/>
    </row>
    <row r="230" spans="1:8">
      <c r="A230" s="55"/>
      <c r="B230" s="55"/>
      <c r="C230" s="56"/>
      <c r="D230" s="55"/>
      <c r="E230" s="55"/>
      <c r="F230" s="55"/>
      <c r="G230" s="55"/>
      <c r="H230" s="55"/>
    </row>
    <row r="231" spans="1:8">
      <c r="A231" s="55"/>
      <c r="B231" s="55"/>
      <c r="C231" s="56"/>
      <c r="D231" s="55"/>
      <c r="E231" s="55"/>
      <c r="F231" s="55"/>
      <c r="G231" s="55"/>
      <c r="H231" s="55"/>
    </row>
    <row r="232" spans="1:8">
      <c r="A232" s="55"/>
      <c r="B232" s="55"/>
      <c r="C232" s="56"/>
      <c r="D232" s="55"/>
    </row>
    <row r="233" spans="1:8">
      <c r="A233" s="55"/>
      <c r="B233" s="55"/>
      <c r="C233" s="56"/>
      <c r="D233" s="55"/>
    </row>
    <row r="234" spans="1:8">
      <c r="A234" s="55"/>
      <c r="B234" s="55"/>
      <c r="C234" s="56"/>
      <c r="D234" s="55"/>
    </row>
    <row r="261" spans="1:8">
      <c r="E261" s="55"/>
      <c r="F261" s="55"/>
      <c r="G261" s="55"/>
      <c r="H261" s="55"/>
    </row>
    <row r="264" spans="1:8">
      <c r="A264" s="55"/>
      <c r="B264" s="55"/>
      <c r="C264" s="56"/>
      <c r="D264" s="55"/>
    </row>
    <row r="333" spans="1:2">
      <c r="A333" s="1"/>
      <c r="B333" s="1"/>
    </row>
    <row r="350" spans="1:2">
      <c r="A350" s="55"/>
      <c r="B350" s="55"/>
    </row>
    <row r="351" spans="1:2">
      <c r="A351" s="55"/>
      <c r="B351" s="55"/>
    </row>
    <row r="352" spans="1:2">
      <c r="A352" s="55"/>
      <c r="B352" s="55"/>
    </row>
    <row r="353" spans="1:2">
      <c r="A353" s="55"/>
      <c r="B353" s="55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7"/>
  <sheetViews>
    <sheetView topLeftCell="A3" workbookViewId="0">
      <selection activeCell="G42" sqref="G42"/>
    </sheetView>
  </sheetViews>
  <sheetFormatPr defaultColWidth="10.85546875" defaultRowHeight="12"/>
  <cols>
    <col min="1" max="1" width="6.85546875" style="3" customWidth="1"/>
    <col min="2" max="2" width="8.42578125" style="3" hidden="1" customWidth="1"/>
    <col min="3" max="3" width="29" style="28" customWidth="1"/>
    <col min="4" max="4" width="1.7109375" style="3" customWidth="1"/>
    <col min="5" max="5" width="10.7109375" style="3" customWidth="1"/>
    <col min="6" max="6" width="2.7109375" style="3" customWidth="1"/>
    <col min="7" max="7" width="11.85546875" style="3" customWidth="1"/>
    <col min="8" max="8" width="1.7109375" style="3" customWidth="1"/>
    <col min="9" max="9" width="10.85546875" style="3"/>
    <col min="10" max="10" width="1.7109375" style="3" customWidth="1"/>
    <col min="11" max="11" width="10.85546875" style="3"/>
    <col min="12" max="12" width="1.7109375" style="3" customWidth="1"/>
    <col min="13" max="13" width="10.85546875" style="3"/>
    <col min="14" max="14" width="1.7109375" style="3" customWidth="1"/>
    <col min="15" max="16384" width="10.85546875" style="3"/>
  </cols>
  <sheetData>
    <row r="1" spans="1:13">
      <c r="A1" s="1" t="s">
        <v>0</v>
      </c>
      <c r="B1" s="1"/>
      <c r="C1" s="2"/>
      <c r="E1" s="4" t="s">
        <v>1</v>
      </c>
      <c r="G1" s="4"/>
    </row>
    <row r="2" spans="1:13">
      <c r="A2" s="1"/>
      <c r="B2" s="1"/>
      <c r="C2" s="2"/>
      <c r="E2" s="4"/>
      <c r="G2" s="4"/>
    </row>
    <row r="3" spans="1:13">
      <c r="A3" s="1" t="s">
        <v>79</v>
      </c>
      <c r="B3" s="1"/>
      <c r="C3" s="2"/>
      <c r="E3" s="4" t="s">
        <v>3</v>
      </c>
      <c r="G3" s="4"/>
    </row>
    <row r="4" spans="1:13">
      <c r="A4" s="1" t="s">
        <v>4</v>
      </c>
      <c r="B4" s="1"/>
      <c r="C4" s="2"/>
      <c r="E4" s="5" t="s">
        <v>5</v>
      </c>
      <c r="G4" s="4"/>
    </row>
    <row r="5" spans="1:13">
      <c r="A5" s="1" t="s">
        <v>6</v>
      </c>
      <c r="B5" s="1"/>
      <c r="C5" s="2"/>
      <c r="E5" s="4" t="s">
        <v>7</v>
      </c>
      <c r="G5" s="4"/>
    </row>
    <row r="6" spans="1:13">
      <c r="A6" s="1" t="s">
        <v>8</v>
      </c>
      <c r="B6" s="1"/>
      <c r="C6" s="2"/>
      <c r="D6" s="1"/>
      <c r="E6" s="4"/>
      <c r="F6" s="4"/>
      <c r="G6" s="4"/>
    </row>
    <row r="7" spans="1:13">
      <c r="A7" s="1" t="s">
        <v>9</v>
      </c>
      <c r="B7" s="1"/>
      <c r="C7" s="2"/>
      <c r="D7" s="1"/>
      <c r="E7" s="1"/>
      <c r="F7" s="1"/>
      <c r="G7" s="1"/>
    </row>
    <row r="8" spans="1:13">
      <c r="A8" s="6" t="s">
        <v>10</v>
      </c>
      <c r="B8" s="6"/>
      <c r="C8" s="2"/>
      <c r="D8" s="1"/>
      <c r="E8" s="1"/>
      <c r="F8" s="1"/>
      <c r="G8" s="1"/>
    </row>
    <row r="9" spans="1:13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9"/>
      <c r="B10" s="10" t="s">
        <v>11</v>
      </c>
      <c r="C10" s="11"/>
      <c r="D10" s="12"/>
      <c r="E10" s="11"/>
      <c r="G10" s="11"/>
      <c r="H10" s="11"/>
      <c r="I10" s="11"/>
      <c r="J10" s="11"/>
      <c r="K10" s="11"/>
      <c r="M10" s="11"/>
    </row>
    <row r="11" spans="1:13">
      <c r="C11" s="2"/>
      <c r="D11" s="1"/>
      <c r="F11" s="12"/>
      <c r="G11" s="12"/>
      <c r="H11" s="12"/>
      <c r="I11" s="12" t="s">
        <v>184</v>
      </c>
      <c r="K11" s="12" t="s">
        <v>183</v>
      </c>
      <c r="M11" s="12" t="s">
        <v>184</v>
      </c>
    </row>
    <row r="12" spans="1:13">
      <c r="A12" s="12" t="s">
        <v>14</v>
      </c>
      <c r="B12" s="12" t="s">
        <v>15</v>
      </c>
      <c r="C12" s="2"/>
      <c r="D12" s="1"/>
      <c r="E12" s="12" t="s">
        <v>13</v>
      </c>
      <c r="F12" s="12"/>
      <c r="G12" s="12" t="s">
        <v>18</v>
      </c>
      <c r="H12" s="12"/>
      <c r="I12" s="12" t="s">
        <v>185</v>
      </c>
      <c r="K12" s="12" t="s">
        <v>182</v>
      </c>
      <c r="M12" s="12" t="s">
        <v>185</v>
      </c>
    </row>
    <row r="13" spans="1:13" ht="14.25">
      <c r="A13" s="14" t="s">
        <v>19</v>
      </c>
      <c r="B13" s="14" t="s">
        <v>20</v>
      </c>
      <c r="C13" s="15" t="s">
        <v>21</v>
      </c>
      <c r="D13" s="16"/>
      <c r="E13" s="130" t="s">
        <v>17</v>
      </c>
      <c r="F13" s="18"/>
      <c r="G13" s="14" t="s">
        <v>17</v>
      </c>
      <c r="H13" s="124"/>
      <c r="I13" s="125" t="s">
        <v>186</v>
      </c>
      <c r="K13" s="14" t="s">
        <v>17</v>
      </c>
      <c r="M13" s="14" t="s">
        <v>186</v>
      </c>
    </row>
    <row r="14" spans="1:13">
      <c r="A14" s="19">
        <v>1</v>
      </c>
      <c r="B14" s="19"/>
      <c r="C14" s="20" t="s">
        <v>24</v>
      </c>
      <c r="E14" s="21"/>
      <c r="F14" s="21"/>
      <c r="G14" s="21"/>
    </row>
    <row r="15" spans="1:13">
      <c r="A15" s="19">
        <v>2</v>
      </c>
      <c r="B15" s="19">
        <v>68001</v>
      </c>
      <c r="C15" s="22" t="s">
        <v>25</v>
      </c>
      <c r="D15" s="23"/>
      <c r="E15" s="122">
        <v>8.32</v>
      </c>
      <c r="F15" s="27"/>
      <c r="G15" s="122">
        <v>22.06</v>
      </c>
      <c r="I15" s="126">
        <f>+G15/E15-1</f>
        <v>1.6514423076923075</v>
      </c>
      <c r="K15" s="122">
        <f>+'Water Rate Design'!I9</f>
        <v>11.54</v>
      </c>
      <c r="M15" s="126">
        <f>+K15/E15-1</f>
        <v>0.38701923076923062</v>
      </c>
    </row>
    <row r="16" spans="1:13">
      <c r="A16" s="19"/>
      <c r="B16" s="19"/>
      <c r="C16" s="22" t="s">
        <v>26</v>
      </c>
      <c r="D16" s="23"/>
      <c r="E16" s="122"/>
      <c r="F16" s="27"/>
      <c r="G16" s="122"/>
      <c r="I16" s="126"/>
      <c r="K16" s="122">
        <f>+'Water Rate Design'!I10</f>
        <v>17.309999999999999</v>
      </c>
      <c r="M16" s="126"/>
    </row>
    <row r="17" spans="1:13">
      <c r="A17" s="19">
        <v>4</v>
      </c>
      <c r="B17" s="19">
        <v>68003</v>
      </c>
      <c r="C17" s="29" t="s">
        <v>27</v>
      </c>
      <c r="D17" s="30"/>
      <c r="E17" s="122">
        <v>20.79</v>
      </c>
      <c r="F17" s="31"/>
      <c r="G17" s="122">
        <v>55.15</v>
      </c>
      <c r="I17" s="126">
        <f t="shared" ref="I17:I22" si="0">+G17/E17-1</f>
        <v>1.6527176527176528</v>
      </c>
      <c r="K17" s="122">
        <f>+'Water Rate Design'!I11</f>
        <v>28.84</v>
      </c>
      <c r="M17" s="126">
        <f t="shared" ref="M17:M22" si="1">+K17/E17-1</f>
        <v>0.38720538720538733</v>
      </c>
    </row>
    <row r="18" spans="1:13">
      <c r="A18" s="19">
        <v>5</v>
      </c>
      <c r="B18" s="19">
        <v>68004</v>
      </c>
      <c r="C18" s="29" t="s">
        <v>28</v>
      </c>
      <c r="D18" s="30"/>
      <c r="E18" s="122">
        <v>41.58</v>
      </c>
      <c r="F18" s="27"/>
      <c r="G18" s="122">
        <v>110.3</v>
      </c>
      <c r="I18" s="126">
        <f t="shared" si="0"/>
        <v>1.6527176527176528</v>
      </c>
      <c r="K18" s="122">
        <f>+'Water Rate Design'!I12</f>
        <v>57.69</v>
      </c>
      <c r="M18" s="126">
        <f t="shared" si="1"/>
        <v>0.38744588744588748</v>
      </c>
    </row>
    <row r="19" spans="1:13">
      <c r="A19" s="19">
        <v>6</v>
      </c>
      <c r="B19" s="19"/>
      <c r="C19" s="29" t="s">
        <v>29</v>
      </c>
      <c r="D19" s="30"/>
      <c r="E19" s="122">
        <v>66.52</v>
      </c>
      <c r="F19" s="27"/>
      <c r="G19" s="122">
        <v>176.48</v>
      </c>
      <c r="I19" s="126">
        <f t="shared" si="0"/>
        <v>1.6530366806975345</v>
      </c>
      <c r="K19" s="122">
        <f>+'Water Rate Design'!I13</f>
        <v>92.3</v>
      </c>
      <c r="M19" s="126">
        <f t="shared" si="1"/>
        <v>0.38755261575466027</v>
      </c>
    </row>
    <row r="20" spans="1:13">
      <c r="A20" s="19">
        <v>7</v>
      </c>
      <c r="B20" s="19"/>
      <c r="C20" s="29" t="s">
        <v>30</v>
      </c>
      <c r="D20" s="30"/>
      <c r="E20" s="122">
        <v>133.06</v>
      </c>
      <c r="F20" s="27"/>
      <c r="G20" s="122">
        <v>352.96</v>
      </c>
      <c r="I20" s="126">
        <f t="shared" si="0"/>
        <v>1.6526379077108069</v>
      </c>
      <c r="K20" s="122">
        <f>+'Water Rate Design'!I14</f>
        <v>184.59</v>
      </c>
      <c r="M20" s="126">
        <f t="shared" si="1"/>
        <v>0.38726890124755742</v>
      </c>
    </row>
    <row r="21" spans="1:13">
      <c r="A21" s="19">
        <v>8</v>
      </c>
      <c r="B21" s="19"/>
      <c r="C21" s="29" t="s">
        <v>31</v>
      </c>
      <c r="D21" s="30"/>
      <c r="E21" s="122">
        <v>207.89</v>
      </c>
      <c r="F21" s="27"/>
      <c r="G21" s="122">
        <v>551.5</v>
      </c>
      <c r="I21" s="126">
        <f t="shared" si="0"/>
        <v>1.6528452547020058</v>
      </c>
      <c r="K21" s="122">
        <f>+'Water Rate Design'!I15</f>
        <v>288.43</v>
      </c>
      <c r="M21" s="126">
        <f t="shared" si="1"/>
        <v>0.38741642214632743</v>
      </c>
    </row>
    <row r="22" spans="1:13">
      <c r="A22" s="19">
        <v>9</v>
      </c>
      <c r="B22" s="19"/>
      <c r="C22" s="29" t="s">
        <v>32</v>
      </c>
      <c r="D22" s="30"/>
      <c r="E22" s="122">
        <v>415.79</v>
      </c>
      <c r="F22" s="27"/>
      <c r="G22" s="122">
        <v>1103</v>
      </c>
      <c r="I22" s="126">
        <f t="shared" si="0"/>
        <v>1.6527814521753768</v>
      </c>
      <c r="K22" s="122">
        <f>+'Water Rate Design'!I16</f>
        <v>576.86</v>
      </c>
      <c r="M22" s="126">
        <f t="shared" si="1"/>
        <v>0.38738305394550121</v>
      </c>
    </row>
    <row r="23" spans="1:13">
      <c r="A23" s="19">
        <v>10</v>
      </c>
      <c r="B23" s="19"/>
      <c r="C23" s="22"/>
      <c r="D23" s="30"/>
      <c r="E23" s="122"/>
      <c r="F23" s="27"/>
      <c r="G23" s="122"/>
      <c r="I23" s="126"/>
    </row>
    <row r="24" spans="1:13">
      <c r="A24" s="19">
        <v>11</v>
      </c>
      <c r="B24" s="19"/>
      <c r="C24" s="33" t="s">
        <v>33</v>
      </c>
      <c r="D24" s="30"/>
      <c r="E24" s="122"/>
      <c r="F24" s="31"/>
      <c r="G24" s="122"/>
      <c r="I24" s="126"/>
    </row>
    <row r="25" spans="1:13">
      <c r="A25" s="19">
        <v>12</v>
      </c>
      <c r="B25" s="19"/>
      <c r="C25" s="33" t="s">
        <v>80</v>
      </c>
      <c r="D25" s="30"/>
      <c r="E25" s="122">
        <v>3.7</v>
      </c>
      <c r="F25" s="31"/>
      <c r="G25" s="122">
        <v>9.8000000000000007</v>
      </c>
      <c r="I25" s="126">
        <f>+G25/E25-1</f>
        <v>1.6486486486486487</v>
      </c>
    </row>
    <row r="26" spans="1:13">
      <c r="A26" s="19">
        <v>13</v>
      </c>
      <c r="B26" s="19"/>
      <c r="C26" s="33" t="s">
        <v>74</v>
      </c>
      <c r="D26" s="30"/>
      <c r="E26" s="122">
        <v>6.46</v>
      </c>
      <c r="F26" s="31"/>
      <c r="G26" s="122">
        <v>17.13</v>
      </c>
      <c r="I26" s="126">
        <f>+G26/E26-1</f>
        <v>1.651702786377709</v>
      </c>
    </row>
    <row r="27" spans="1:13">
      <c r="A27" s="19">
        <v>14</v>
      </c>
      <c r="B27" s="19"/>
      <c r="C27" s="33" t="s">
        <v>75</v>
      </c>
      <c r="D27" s="30"/>
      <c r="E27" s="122">
        <v>8.31</v>
      </c>
      <c r="F27" s="31"/>
      <c r="G27" s="122">
        <v>22.03</v>
      </c>
      <c r="I27" s="126">
        <f>+G27/E27-1</f>
        <v>1.6510228640192537</v>
      </c>
    </row>
    <row r="28" spans="1:13">
      <c r="A28" s="19"/>
      <c r="B28" s="19"/>
      <c r="C28" s="33" t="str">
        <f>+'Water Rate Design'!B40</f>
        <v>0-8k</v>
      </c>
      <c r="D28" s="30"/>
      <c r="E28" s="122"/>
      <c r="F28" s="31"/>
      <c r="G28" s="122"/>
      <c r="I28" s="126"/>
      <c r="K28" s="122">
        <f>+'Water Rate Design'!I40</f>
        <v>1.97</v>
      </c>
      <c r="M28" s="126">
        <f>K28/E25-1</f>
        <v>-0.46756756756756757</v>
      </c>
    </row>
    <row r="29" spans="1:13">
      <c r="A29" s="19"/>
      <c r="B29" s="19"/>
      <c r="C29" s="33" t="str">
        <f>+'Water Rate Design'!B41</f>
        <v>8-16k</v>
      </c>
      <c r="D29" s="30"/>
      <c r="E29" s="122"/>
      <c r="F29" s="31"/>
      <c r="G29" s="122"/>
      <c r="I29" s="126"/>
      <c r="K29" s="122">
        <f>+'Water Rate Design'!I41</f>
        <v>2.95</v>
      </c>
      <c r="M29" s="126">
        <f t="shared" ref="M29:M30" si="2">K29/E26-1</f>
        <v>-0.54334365325077394</v>
      </c>
    </row>
    <row r="30" spans="1:13">
      <c r="A30" s="19"/>
      <c r="B30" s="19"/>
      <c r="C30" s="33" t="str">
        <f>+'Water Rate Design'!B42</f>
        <v>+16k</v>
      </c>
      <c r="D30" s="30"/>
      <c r="E30" s="122"/>
      <c r="F30" s="31"/>
      <c r="G30" s="122"/>
      <c r="I30" s="126"/>
      <c r="K30" s="122">
        <f>+'Water Rate Design'!I42</f>
        <v>3.93</v>
      </c>
      <c r="M30" s="126">
        <f t="shared" si="2"/>
        <v>-0.52707581227436817</v>
      </c>
    </row>
    <row r="31" spans="1:13">
      <c r="A31" s="19">
        <v>15</v>
      </c>
      <c r="B31" s="19"/>
      <c r="C31" s="38"/>
      <c r="D31" s="30"/>
      <c r="E31" s="122"/>
      <c r="F31" s="27"/>
      <c r="G31" s="122"/>
      <c r="I31" s="126"/>
    </row>
    <row r="32" spans="1:13">
      <c r="A32" s="19">
        <v>16</v>
      </c>
      <c r="B32" s="19"/>
      <c r="C32" s="41" t="s">
        <v>37</v>
      </c>
      <c r="D32" s="42"/>
      <c r="E32" s="122"/>
      <c r="F32" s="27"/>
      <c r="G32" s="122"/>
      <c r="I32" s="126"/>
    </row>
    <row r="33" spans="1:13">
      <c r="A33" s="19">
        <v>17</v>
      </c>
      <c r="B33" s="19">
        <v>68006</v>
      </c>
      <c r="C33" s="22" t="s">
        <v>38</v>
      </c>
      <c r="D33" s="23"/>
      <c r="E33" s="122">
        <v>8.32</v>
      </c>
      <c r="F33" s="27"/>
      <c r="G33" s="122">
        <f>+G15</f>
        <v>22.06</v>
      </c>
      <c r="I33" s="126">
        <f>+G33/E33-1</f>
        <v>1.6514423076923075</v>
      </c>
      <c r="K33" s="122">
        <f>+K15</f>
        <v>11.54</v>
      </c>
      <c r="M33" s="126">
        <f t="shared" ref="M33:M42" si="3">+K33/E33-1</f>
        <v>0.38701923076923062</v>
      </c>
    </row>
    <row r="34" spans="1:13">
      <c r="A34" s="19"/>
      <c r="B34" s="19"/>
      <c r="C34" s="22" t="s">
        <v>26</v>
      </c>
      <c r="D34" s="23"/>
      <c r="E34" s="122"/>
      <c r="F34" s="27"/>
      <c r="G34" s="122"/>
      <c r="I34" s="126"/>
      <c r="K34" s="122">
        <f t="shared" ref="K34:K40" si="4">+K16</f>
        <v>17.309999999999999</v>
      </c>
      <c r="M34" s="126"/>
    </row>
    <row r="35" spans="1:13">
      <c r="A35" s="19">
        <v>19</v>
      </c>
      <c r="B35" s="19">
        <v>68007</v>
      </c>
      <c r="C35" s="29" t="s">
        <v>27</v>
      </c>
      <c r="D35" s="30"/>
      <c r="E35" s="122">
        <v>20.79</v>
      </c>
      <c r="F35" s="27"/>
      <c r="G35" s="122">
        <f t="shared" ref="G35:G40" si="5">+G17</f>
        <v>55.15</v>
      </c>
      <c r="I35" s="126">
        <f t="shared" ref="I35:I40" si="6">+G35/E35-1</f>
        <v>1.6527176527176528</v>
      </c>
      <c r="K35" s="122">
        <f t="shared" si="4"/>
        <v>28.84</v>
      </c>
      <c r="M35" s="126">
        <f t="shared" si="3"/>
        <v>0.38720538720538733</v>
      </c>
    </row>
    <row r="36" spans="1:13">
      <c r="A36" s="19">
        <v>20</v>
      </c>
      <c r="B36" s="19">
        <v>68008</v>
      </c>
      <c r="C36" s="29" t="s">
        <v>28</v>
      </c>
      <c r="D36" s="30"/>
      <c r="E36" s="122">
        <v>41.58</v>
      </c>
      <c r="F36" s="27"/>
      <c r="G36" s="122">
        <f t="shared" si="5"/>
        <v>110.3</v>
      </c>
      <c r="I36" s="126">
        <f t="shared" si="6"/>
        <v>1.6527176527176528</v>
      </c>
      <c r="K36" s="122">
        <f t="shared" si="4"/>
        <v>57.69</v>
      </c>
      <c r="M36" s="126">
        <f t="shared" si="3"/>
        <v>0.38744588744588748</v>
      </c>
    </row>
    <row r="37" spans="1:13">
      <c r="A37" s="19">
        <v>21</v>
      </c>
      <c r="B37" s="19">
        <v>68009</v>
      </c>
      <c r="C37" s="29" t="s">
        <v>29</v>
      </c>
      <c r="D37" s="30"/>
      <c r="E37" s="122">
        <v>66.52</v>
      </c>
      <c r="F37" s="27"/>
      <c r="G37" s="122">
        <f t="shared" si="5"/>
        <v>176.48</v>
      </c>
      <c r="I37" s="126">
        <f t="shared" si="6"/>
        <v>1.6530366806975345</v>
      </c>
      <c r="K37" s="122">
        <f t="shared" si="4"/>
        <v>92.3</v>
      </c>
      <c r="M37" s="126">
        <f t="shared" si="3"/>
        <v>0.38755261575466027</v>
      </c>
    </row>
    <row r="38" spans="1:13">
      <c r="A38" s="19">
        <v>22</v>
      </c>
      <c r="B38" s="19">
        <v>68005</v>
      </c>
      <c r="C38" s="29" t="s">
        <v>30</v>
      </c>
      <c r="D38" s="30"/>
      <c r="E38" s="122">
        <v>133.06</v>
      </c>
      <c r="F38" s="27"/>
      <c r="G38" s="122">
        <f t="shared" si="5"/>
        <v>352.96</v>
      </c>
      <c r="I38" s="126">
        <f t="shared" si="6"/>
        <v>1.6526379077108069</v>
      </c>
      <c r="K38" s="122">
        <f t="shared" si="4"/>
        <v>184.59</v>
      </c>
      <c r="M38" s="126">
        <f t="shared" si="3"/>
        <v>0.38726890124755742</v>
      </c>
    </row>
    <row r="39" spans="1:13">
      <c r="A39" s="19">
        <v>23</v>
      </c>
      <c r="B39" s="19">
        <v>68016</v>
      </c>
      <c r="C39" s="29" t="s">
        <v>31</v>
      </c>
      <c r="D39" s="30"/>
      <c r="E39" s="122">
        <v>207.89</v>
      </c>
      <c r="F39" s="31"/>
      <c r="G39" s="122">
        <f t="shared" si="5"/>
        <v>551.5</v>
      </c>
      <c r="I39" s="126">
        <f t="shared" si="6"/>
        <v>1.6528452547020058</v>
      </c>
      <c r="K39" s="122">
        <f t="shared" si="4"/>
        <v>288.43</v>
      </c>
      <c r="M39" s="126">
        <f t="shared" si="3"/>
        <v>0.38741642214632743</v>
      </c>
    </row>
    <row r="40" spans="1:13">
      <c r="A40" s="19">
        <v>24</v>
      </c>
      <c r="B40" s="19">
        <v>68017</v>
      </c>
      <c r="C40" s="29" t="s">
        <v>32</v>
      </c>
      <c r="D40" s="30"/>
      <c r="E40" s="122">
        <v>415.79</v>
      </c>
      <c r="F40" s="36"/>
      <c r="G40" s="122">
        <f t="shared" si="5"/>
        <v>1103</v>
      </c>
      <c r="I40" s="126">
        <f t="shared" si="6"/>
        <v>1.6527814521753768</v>
      </c>
      <c r="K40" s="122">
        <f t="shared" si="4"/>
        <v>576.86</v>
      </c>
      <c r="M40" s="126">
        <f t="shared" si="3"/>
        <v>0.38738305394550121</v>
      </c>
    </row>
    <row r="41" spans="1:13">
      <c r="A41" s="19">
        <v>25</v>
      </c>
      <c r="B41" s="19">
        <v>68018</v>
      </c>
      <c r="C41" s="22"/>
      <c r="D41" s="30"/>
      <c r="E41" s="122"/>
      <c r="F41" s="36"/>
      <c r="G41" s="122"/>
      <c r="I41" s="126"/>
      <c r="M41" s="126"/>
    </row>
    <row r="42" spans="1:13">
      <c r="A42" s="19">
        <v>26</v>
      </c>
      <c r="B42" s="19"/>
      <c r="C42" s="33" t="s">
        <v>33</v>
      </c>
      <c r="E42" s="122">
        <v>4.34</v>
      </c>
      <c r="F42" s="27"/>
      <c r="G42" s="122">
        <v>11.5</v>
      </c>
      <c r="I42" s="126">
        <f>+G42/E42-1</f>
        <v>1.6497695852534564</v>
      </c>
      <c r="K42" s="122">
        <f>+'Water Rate Design'!I45</f>
        <v>2.98</v>
      </c>
      <c r="M42" s="126">
        <f t="shared" si="3"/>
        <v>-0.31336405529953915</v>
      </c>
    </row>
    <row r="43" spans="1:13">
      <c r="A43" s="19"/>
      <c r="B43" s="19"/>
      <c r="C43" s="3"/>
      <c r="F43" s="27"/>
      <c r="G43" s="27"/>
    </row>
    <row r="44" spans="1:13">
      <c r="A44" s="19"/>
      <c r="C44" s="3"/>
      <c r="E44" s="36"/>
      <c r="F44" s="27"/>
      <c r="G44" s="27"/>
    </row>
    <row r="45" spans="1:13">
      <c r="A45" s="12"/>
      <c r="B45" s="12"/>
      <c r="C45" s="29"/>
      <c r="D45" s="48"/>
      <c r="F45" s="21"/>
      <c r="G45" s="21"/>
    </row>
    <row r="46" spans="1:13">
      <c r="A46" s="12"/>
      <c r="B46" s="12"/>
      <c r="C46" s="29"/>
      <c r="F46" s="21"/>
      <c r="G46" s="21"/>
    </row>
    <row r="47" spans="1:13">
      <c r="A47" s="12"/>
      <c r="B47" s="12"/>
      <c r="C47" s="29"/>
      <c r="E47" s="49"/>
      <c r="F47" s="21"/>
      <c r="G47" s="21"/>
    </row>
    <row r="48" spans="1:13">
      <c r="A48" s="12"/>
      <c r="B48" s="12"/>
      <c r="C48" s="29"/>
      <c r="E48" s="51"/>
      <c r="F48" s="51"/>
      <c r="G48" s="51"/>
    </row>
    <row r="49" spans="1:7">
      <c r="A49" s="12"/>
      <c r="B49" s="12"/>
      <c r="C49" s="29"/>
      <c r="E49" s="21"/>
      <c r="F49" s="21"/>
      <c r="G49" s="21"/>
    </row>
    <row r="50" spans="1:7">
      <c r="A50" s="12"/>
      <c r="B50" s="12"/>
      <c r="C50" s="52"/>
      <c r="E50" s="21"/>
      <c r="F50" s="21"/>
      <c r="G50" s="21"/>
    </row>
    <row r="51" spans="1:7">
      <c r="A51" s="12"/>
      <c r="B51" s="12"/>
      <c r="C51" s="52"/>
      <c r="E51" s="21"/>
      <c r="F51" s="21"/>
      <c r="G51" s="21"/>
    </row>
    <row r="52" spans="1:7">
      <c r="A52" s="12"/>
      <c r="B52" s="12"/>
      <c r="C52" s="53"/>
      <c r="E52" s="21"/>
      <c r="F52" s="21"/>
      <c r="G52" s="21"/>
    </row>
    <row r="53" spans="1:7">
      <c r="A53" s="12"/>
      <c r="B53" s="12"/>
      <c r="C53" s="29"/>
      <c r="E53" s="21"/>
      <c r="F53" s="21"/>
      <c r="G53" s="21"/>
    </row>
    <row r="54" spans="1:7">
      <c r="A54" s="12"/>
      <c r="B54" s="12"/>
      <c r="C54" s="29"/>
      <c r="E54" s="21"/>
      <c r="F54" s="21"/>
      <c r="G54" s="21"/>
    </row>
    <row r="55" spans="1:7">
      <c r="A55" s="12"/>
      <c r="B55" s="12"/>
      <c r="C55" s="29"/>
      <c r="E55" s="21"/>
      <c r="F55" s="21"/>
      <c r="G55" s="21"/>
    </row>
    <row r="56" spans="1:7">
      <c r="A56" s="12"/>
      <c r="B56" s="12"/>
      <c r="C56" s="29"/>
      <c r="E56" s="21"/>
      <c r="F56" s="21"/>
      <c r="G56" s="21"/>
    </row>
    <row r="57" spans="1:7">
      <c r="A57" s="12"/>
      <c r="B57" s="12"/>
      <c r="C57" s="29"/>
      <c r="E57" s="21"/>
      <c r="F57" s="21"/>
      <c r="G57" s="21"/>
    </row>
    <row r="58" spans="1:7">
      <c r="A58" s="12"/>
      <c r="B58" s="12"/>
      <c r="C58" s="29"/>
      <c r="E58" s="21"/>
      <c r="F58" s="21"/>
      <c r="G58" s="21"/>
    </row>
    <row r="59" spans="1:7">
      <c r="A59" s="12"/>
      <c r="B59" s="12"/>
      <c r="C59" s="29"/>
      <c r="E59" s="21"/>
      <c r="F59" s="21"/>
      <c r="G59" s="21"/>
    </row>
    <row r="60" spans="1:7">
      <c r="A60" s="12"/>
      <c r="B60" s="12"/>
      <c r="C60" s="41"/>
      <c r="E60" s="21"/>
      <c r="F60" s="21"/>
      <c r="G60" s="21"/>
    </row>
    <row r="61" spans="1:7">
      <c r="A61" s="12"/>
      <c r="B61" s="12"/>
      <c r="C61" s="29"/>
      <c r="E61" s="21"/>
      <c r="F61" s="21"/>
      <c r="G61" s="21"/>
    </row>
    <row r="62" spans="1:7">
      <c r="A62" s="12"/>
      <c r="B62" s="12"/>
      <c r="C62" s="29"/>
      <c r="E62" s="21"/>
      <c r="F62" s="21"/>
      <c r="G62" s="21"/>
    </row>
    <row r="63" spans="1:7">
      <c r="A63" s="12"/>
      <c r="B63" s="12"/>
      <c r="C63" s="29"/>
      <c r="E63" s="21"/>
      <c r="F63" s="21"/>
      <c r="G63" s="21"/>
    </row>
    <row r="64" spans="1:7">
      <c r="A64" s="12"/>
      <c r="B64" s="12"/>
      <c r="C64" s="29"/>
      <c r="E64" s="21"/>
      <c r="F64" s="21"/>
      <c r="G64" s="21"/>
    </row>
    <row r="65" spans="1:7">
      <c r="A65" s="12"/>
      <c r="B65" s="12"/>
      <c r="C65" s="29"/>
      <c r="E65" s="21"/>
      <c r="F65" s="21"/>
      <c r="G65" s="21"/>
    </row>
    <row r="66" spans="1:7">
      <c r="A66" s="12"/>
      <c r="B66" s="12"/>
      <c r="C66" s="29"/>
      <c r="E66" s="21"/>
      <c r="F66" s="21"/>
      <c r="G66" s="21"/>
    </row>
    <row r="67" spans="1:7">
      <c r="A67" s="12"/>
      <c r="B67" s="12"/>
      <c r="C67" s="29"/>
    </row>
    <row r="104" spans="5:5">
      <c r="E104" s="54"/>
    </row>
    <row r="107" spans="5:5">
      <c r="E107" s="54"/>
    </row>
    <row r="233" spans="1:4">
      <c r="A233" s="55"/>
      <c r="B233" s="55"/>
      <c r="C233" s="56"/>
      <c r="D233" s="55"/>
    </row>
    <row r="234" spans="1:4">
      <c r="A234" s="55"/>
      <c r="B234" s="55"/>
      <c r="C234" s="56"/>
      <c r="D234" s="55"/>
    </row>
    <row r="235" spans="1:4">
      <c r="A235" s="55"/>
      <c r="B235" s="55"/>
      <c r="C235" s="56"/>
      <c r="D235" s="55"/>
    </row>
    <row r="236" spans="1:4">
      <c r="A236" s="55"/>
      <c r="B236" s="55"/>
      <c r="C236" s="56"/>
      <c r="D236" s="55"/>
    </row>
    <row r="237" spans="1:4">
      <c r="A237" s="55"/>
      <c r="B237" s="55"/>
      <c r="C237" s="56"/>
      <c r="D237" s="55"/>
    </row>
    <row r="267" spans="1:4">
      <c r="A267" s="55"/>
      <c r="B267" s="55"/>
      <c r="C267" s="56"/>
      <c r="D267" s="55"/>
    </row>
    <row r="336" spans="1:2">
      <c r="A336" s="1"/>
      <c r="B336" s="1"/>
    </row>
    <row r="353" spans="1:2">
      <c r="A353" s="55"/>
      <c r="B353" s="55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2"/>
  <sheetViews>
    <sheetView topLeftCell="A19" workbookViewId="0">
      <selection activeCell="O35" sqref="O35"/>
    </sheetView>
  </sheetViews>
  <sheetFormatPr defaultRowHeight="15"/>
  <cols>
    <col min="1" max="1" width="5.140625" customWidth="1"/>
    <col min="2" max="2" width="10.7109375" customWidth="1"/>
  </cols>
  <sheetData>
    <row r="2" spans="1:9" ht="18.75">
      <c r="A2" s="293" t="s">
        <v>325</v>
      </c>
      <c r="B2" s="293"/>
      <c r="C2" s="293"/>
      <c r="D2" s="293"/>
      <c r="E2" s="293"/>
      <c r="F2" s="293"/>
      <c r="G2" s="293"/>
      <c r="H2" s="293"/>
      <c r="I2" s="293"/>
    </row>
    <row r="3" spans="1:9" ht="18.75">
      <c r="A3" s="279"/>
      <c r="B3" s="279"/>
      <c r="C3" s="279"/>
      <c r="D3" s="279"/>
      <c r="E3" s="279"/>
      <c r="F3" s="279"/>
      <c r="G3" s="279"/>
      <c r="H3" s="279"/>
      <c r="I3" s="279"/>
    </row>
    <row r="4" spans="1:9" ht="18.75">
      <c r="A4" s="293" t="s">
        <v>347</v>
      </c>
      <c r="B4" s="293"/>
      <c r="C4" s="293"/>
      <c r="D4" s="293"/>
      <c r="E4" s="293"/>
      <c r="F4" s="293"/>
      <c r="G4" s="293"/>
      <c r="H4" s="293"/>
      <c r="I4" s="293"/>
    </row>
    <row r="6" spans="1:9">
      <c r="B6" t="s">
        <v>312</v>
      </c>
      <c r="D6" t="s">
        <v>328</v>
      </c>
    </row>
    <row r="8" spans="1:9">
      <c r="B8" t="s">
        <v>317</v>
      </c>
      <c r="D8" t="s">
        <v>329</v>
      </c>
    </row>
    <row r="10" spans="1:9">
      <c r="B10" t="s">
        <v>319</v>
      </c>
      <c r="D10" t="s">
        <v>330</v>
      </c>
    </row>
    <row r="12" spans="1:9">
      <c r="B12" t="s">
        <v>320</v>
      </c>
      <c r="D12" t="s">
        <v>331</v>
      </c>
    </row>
    <row r="14" spans="1:9">
      <c r="B14" t="s">
        <v>321</v>
      </c>
      <c r="D14" t="s">
        <v>332</v>
      </c>
    </row>
    <row r="16" spans="1:9">
      <c r="B16" t="s">
        <v>322</v>
      </c>
      <c r="D16" t="s">
        <v>333</v>
      </c>
    </row>
    <row r="18" spans="1:10">
      <c r="B18" t="s">
        <v>323</v>
      </c>
      <c r="D18" t="s">
        <v>334</v>
      </c>
    </row>
    <row r="20" spans="1:10" ht="18.75">
      <c r="A20" s="293" t="s">
        <v>348</v>
      </c>
      <c r="B20" s="293"/>
      <c r="C20" s="293"/>
      <c r="D20" s="293"/>
      <c r="E20" s="293"/>
      <c r="F20" s="293"/>
      <c r="G20" s="293"/>
      <c r="H20" s="293"/>
      <c r="I20" s="293"/>
      <c r="J20" s="280"/>
    </row>
    <row r="22" spans="1:10">
      <c r="B22" t="s">
        <v>311</v>
      </c>
      <c r="D22" t="s">
        <v>335</v>
      </c>
    </row>
    <row r="24" spans="1:10">
      <c r="B24" t="s">
        <v>336</v>
      </c>
      <c r="D24" t="s">
        <v>337</v>
      </c>
    </row>
    <row r="26" spans="1:10">
      <c r="B26" t="s">
        <v>338</v>
      </c>
      <c r="D26" t="s">
        <v>339</v>
      </c>
    </row>
    <row r="28" spans="1:10">
      <c r="B28" t="s">
        <v>340</v>
      </c>
      <c r="D28" t="s">
        <v>341</v>
      </c>
    </row>
    <row r="30" spans="1:10">
      <c r="B30" t="s">
        <v>342</v>
      </c>
      <c r="D30" t="s">
        <v>343</v>
      </c>
    </row>
    <row r="32" spans="1:10" ht="18.75">
      <c r="A32" s="293" t="s">
        <v>349</v>
      </c>
      <c r="B32" s="293"/>
      <c r="C32" s="293"/>
      <c r="D32" s="293"/>
      <c r="E32" s="293"/>
      <c r="F32" s="293"/>
      <c r="G32" s="293"/>
      <c r="H32" s="293"/>
      <c r="I32" s="293"/>
    </row>
    <row r="34" spans="1:9">
      <c r="B34" t="s">
        <v>353</v>
      </c>
      <c r="D34" t="s">
        <v>345</v>
      </c>
    </row>
    <row r="36" spans="1:9">
      <c r="B36" t="s">
        <v>354</v>
      </c>
      <c r="D36" t="s">
        <v>346</v>
      </c>
    </row>
    <row r="38" spans="1:9" ht="18.75">
      <c r="A38" s="293" t="s">
        <v>350</v>
      </c>
      <c r="B38" s="293"/>
      <c r="C38" s="293"/>
      <c r="D38" s="293"/>
      <c r="E38" s="293"/>
      <c r="F38" s="293"/>
      <c r="G38" s="293"/>
      <c r="H38" s="293"/>
      <c r="I38" s="293"/>
    </row>
    <row r="40" spans="1:9">
      <c r="B40" t="s">
        <v>355</v>
      </c>
      <c r="D40" t="s">
        <v>351</v>
      </c>
    </row>
    <row r="42" spans="1:9">
      <c r="B42" t="s">
        <v>356</v>
      </c>
      <c r="D42" t="s">
        <v>352</v>
      </c>
    </row>
  </sheetData>
  <mergeCells count="5">
    <mergeCell ref="A2:I2"/>
    <mergeCell ref="A20:I20"/>
    <mergeCell ref="A32:I32"/>
    <mergeCell ref="A4:I4"/>
    <mergeCell ref="A38:I38"/>
  </mergeCells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tabSelected="1" zoomScale="110" zoomScaleNormal="110" workbookViewId="0">
      <selection activeCell="V35" sqref="V35"/>
    </sheetView>
  </sheetViews>
  <sheetFormatPr defaultRowHeight="15"/>
  <cols>
    <col min="1" max="1" width="18.7109375" customWidth="1"/>
    <col min="2" max="2" width="8.5703125" customWidth="1"/>
    <col min="3" max="3" width="12.42578125" customWidth="1"/>
    <col min="4" max="4" width="1.7109375" customWidth="1"/>
    <col min="6" max="6" width="1.7109375" customWidth="1"/>
    <col min="7" max="7" width="11" customWidth="1"/>
    <col min="8" max="8" width="1.7109375" customWidth="1"/>
    <col min="9" max="9" width="10.5703125" bestFit="1" customWidth="1"/>
    <col min="10" max="10" width="1.7109375" customWidth="1"/>
    <col min="11" max="11" width="12.5703125" bestFit="1" customWidth="1"/>
    <col min="13" max="13" width="13.28515625" bestFit="1" customWidth="1"/>
    <col min="17" max="17" width="9.85546875" bestFit="1" customWidth="1"/>
    <col min="18" max="18" width="10.140625" bestFit="1" customWidth="1"/>
    <col min="19" max="19" width="1.7109375" customWidth="1"/>
    <col min="22" max="22" width="15.28515625" bestFit="1" customWidth="1"/>
  </cols>
  <sheetData>
    <row r="1" spans="1:13" ht="18.75">
      <c r="A1" s="71" t="s">
        <v>157</v>
      </c>
      <c r="K1" s="120" t="s">
        <v>309</v>
      </c>
    </row>
    <row r="2" spans="1:13">
      <c r="A2" t="s">
        <v>158</v>
      </c>
      <c r="K2" s="120" t="s">
        <v>310</v>
      </c>
    </row>
    <row r="3" spans="1:13">
      <c r="A3" t="s">
        <v>326</v>
      </c>
      <c r="K3" s="120" t="s">
        <v>312</v>
      </c>
    </row>
    <row r="6" spans="1:13">
      <c r="A6" s="112" t="s">
        <v>172</v>
      </c>
    </row>
    <row r="7" spans="1:13">
      <c r="A7" s="72" t="s">
        <v>173</v>
      </c>
      <c r="B7" s="72"/>
      <c r="E7" s="103" t="s">
        <v>165</v>
      </c>
      <c r="G7" s="103" t="s">
        <v>164</v>
      </c>
      <c r="K7" s="103" t="s">
        <v>170</v>
      </c>
    </row>
    <row r="8" spans="1:13">
      <c r="A8" s="74" t="s">
        <v>85</v>
      </c>
      <c r="B8" s="72"/>
      <c r="C8" s="156" t="s">
        <v>163</v>
      </c>
      <c r="E8" s="156" t="s">
        <v>301</v>
      </c>
      <c r="G8" s="156" t="s">
        <v>163</v>
      </c>
      <c r="I8" s="156" t="s">
        <v>17</v>
      </c>
      <c r="K8" s="156" t="s">
        <v>169</v>
      </c>
    </row>
    <row r="9" spans="1:13">
      <c r="A9" s="74" t="s">
        <v>81</v>
      </c>
      <c r="B9" s="72"/>
      <c r="C9" s="102">
        <f>+'W-Bills Summary'!AA7+'W-Bills Summary'!AA24</f>
        <v>318784</v>
      </c>
      <c r="E9" s="104">
        <f>+'W-Rate Summary'!AD7</f>
        <v>1</v>
      </c>
      <c r="G9" s="102">
        <f>E9*C9</f>
        <v>318784</v>
      </c>
      <c r="I9" s="111">
        <f>ROUND(+G$21*E9,2)+M9</f>
        <v>11.54</v>
      </c>
      <c r="K9" s="148">
        <f t="shared" ref="K9:K18" si="0">+I9*C9</f>
        <v>3678767.36</v>
      </c>
      <c r="M9" s="119">
        <v>0</v>
      </c>
    </row>
    <row r="10" spans="1:13">
      <c r="A10" s="74" t="s">
        <v>26</v>
      </c>
      <c r="B10" s="72"/>
      <c r="C10" s="102">
        <f>+'W-Bills Summary'!AA8+'W-Bills Summary'!AA25</f>
        <v>0</v>
      </c>
      <c r="E10" s="104">
        <f>+'W-Rate Summary'!AD8</f>
        <v>1.5</v>
      </c>
      <c r="G10" s="102">
        <f t="shared" ref="G10:G18" si="1">E10*C10</f>
        <v>0</v>
      </c>
      <c r="I10" s="111">
        <f t="shared" ref="I10:I18" si="2">ROUND(+G$21*E10,2)</f>
        <v>17.309999999999999</v>
      </c>
      <c r="K10" s="149">
        <f t="shared" si="0"/>
        <v>0</v>
      </c>
    </row>
    <row r="11" spans="1:13">
      <c r="A11" s="74" t="s">
        <v>82</v>
      </c>
      <c r="B11" s="72"/>
      <c r="C11" s="102">
        <f>+'W-Bills Summary'!AA9+'W-Bills Summary'!AA26</f>
        <v>49788</v>
      </c>
      <c r="E11" s="104">
        <f>+'W-Rate Summary'!AD9</f>
        <v>2.5</v>
      </c>
      <c r="G11" s="102">
        <f t="shared" si="1"/>
        <v>124470</v>
      </c>
      <c r="I11" s="111">
        <f t="shared" si="2"/>
        <v>28.84</v>
      </c>
      <c r="K11" s="149">
        <f t="shared" si="0"/>
        <v>1435885.92</v>
      </c>
    </row>
    <row r="12" spans="1:13">
      <c r="A12" s="74" t="s">
        <v>90</v>
      </c>
      <c r="B12" s="72"/>
      <c r="C12" s="102">
        <f>+'W-Bills Summary'!AA10+'W-Bills Summary'!AA27</f>
        <v>2314</v>
      </c>
      <c r="E12" s="104">
        <f>+'W-Rate Summary'!AD10</f>
        <v>5</v>
      </c>
      <c r="G12" s="102">
        <f t="shared" si="1"/>
        <v>11570</v>
      </c>
      <c r="I12" s="111">
        <f t="shared" si="2"/>
        <v>57.69</v>
      </c>
      <c r="K12" s="149">
        <f t="shared" si="0"/>
        <v>133494.66</v>
      </c>
    </row>
    <row r="13" spans="1:13">
      <c r="A13" s="74" t="s">
        <v>29</v>
      </c>
      <c r="B13" s="72"/>
      <c r="C13" s="102">
        <f>+'W-Bills Summary'!AA11+'W-Bills Summary'!AA28</f>
        <v>2042.5</v>
      </c>
      <c r="E13" s="104">
        <f>+'W-Rate Summary'!AD11</f>
        <v>8</v>
      </c>
      <c r="G13" s="102">
        <f t="shared" si="1"/>
        <v>16340</v>
      </c>
      <c r="I13" s="111">
        <f t="shared" si="2"/>
        <v>92.3</v>
      </c>
      <c r="K13" s="149">
        <f t="shared" si="0"/>
        <v>188522.75</v>
      </c>
    </row>
    <row r="14" spans="1:13">
      <c r="A14" s="74" t="s">
        <v>30</v>
      </c>
      <c r="B14" s="72"/>
      <c r="C14" s="102">
        <f>+'W-Bills Summary'!AA12+'W-Bills Summary'!AA29</f>
        <v>284</v>
      </c>
      <c r="E14" s="104">
        <f>+'W-Rate Summary'!AD12</f>
        <v>16</v>
      </c>
      <c r="G14" s="102">
        <f t="shared" si="1"/>
        <v>4544</v>
      </c>
      <c r="I14" s="111">
        <f t="shared" si="2"/>
        <v>184.59</v>
      </c>
      <c r="K14" s="149">
        <f t="shared" si="0"/>
        <v>52423.56</v>
      </c>
    </row>
    <row r="15" spans="1:13">
      <c r="A15" s="74" t="s">
        <v>31</v>
      </c>
      <c r="B15" s="72"/>
      <c r="C15" s="102">
        <f>+'W-Bills Summary'!AA13+'W-Bills Summary'!AA30</f>
        <v>169</v>
      </c>
      <c r="E15" s="104">
        <f>+'W-Rate Summary'!AD13</f>
        <v>25</v>
      </c>
      <c r="G15" s="102">
        <f t="shared" si="1"/>
        <v>4225</v>
      </c>
      <c r="I15" s="111">
        <f t="shared" si="2"/>
        <v>288.43</v>
      </c>
      <c r="K15" s="149">
        <f t="shared" si="0"/>
        <v>48744.67</v>
      </c>
    </row>
    <row r="16" spans="1:13">
      <c r="A16" s="74" t="s">
        <v>32</v>
      </c>
      <c r="B16" s="72"/>
      <c r="C16" s="102">
        <f>+'W-Bills Summary'!AA14+'W-Bills Summary'!AA31</f>
        <v>47</v>
      </c>
      <c r="E16" s="104">
        <f>+'W-Rate Summary'!AD14</f>
        <v>50</v>
      </c>
      <c r="G16" s="102">
        <f t="shared" si="1"/>
        <v>2350</v>
      </c>
      <c r="I16" s="111">
        <f t="shared" si="2"/>
        <v>576.86</v>
      </c>
      <c r="K16" s="149">
        <f t="shared" si="0"/>
        <v>27112.420000000002</v>
      </c>
    </row>
    <row r="17" spans="1:11">
      <c r="A17" s="74" t="s">
        <v>48</v>
      </c>
      <c r="B17" s="72"/>
      <c r="C17" s="102">
        <f>+'W-Bills Summary'!AA15+'W-Bills Summary'!AA32</f>
        <v>122</v>
      </c>
      <c r="E17" s="104">
        <f>+'W-Rate Summary'!AD15</f>
        <v>80</v>
      </c>
      <c r="G17" s="102">
        <f t="shared" si="1"/>
        <v>9760</v>
      </c>
      <c r="I17" s="111">
        <f t="shared" si="2"/>
        <v>922.97</v>
      </c>
      <c r="K17" s="149">
        <f t="shared" si="0"/>
        <v>112602.34</v>
      </c>
    </row>
    <row r="18" spans="1:11">
      <c r="A18" s="74" t="s">
        <v>54</v>
      </c>
      <c r="B18" s="72"/>
      <c r="C18" s="102">
        <f>+'W-Bills Summary'!AA16+'W-Bills Summary'!AA33</f>
        <v>12</v>
      </c>
      <c r="E18" s="104">
        <f>+'W-Rate Summary'!AD16</f>
        <v>145</v>
      </c>
      <c r="G18" s="102">
        <f t="shared" si="1"/>
        <v>1740</v>
      </c>
      <c r="I18" s="111">
        <f t="shared" si="2"/>
        <v>1672.89</v>
      </c>
      <c r="K18" s="149">
        <f t="shared" si="0"/>
        <v>20074.68</v>
      </c>
    </row>
    <row r="19" spans="1:11">
      <c r="A19" s="72"/>
      <c r="B19" s="72"/>
      <c r="C19" s="105">
        <f>SUM(C9:C18)</f>
        <v>373562.5</v>
      </c>
      <c r="G19" s="105">
        <f>SUM(G9:G18)</f>
        <v>493783</v>
      </c>
      <c r="K19" s="150">
        <f>SUM(K9:K18)</f>
        <v>5697628.3599999985</v>
      </c>
    </row>
    <row r="20" spans="1:11">
      <c r="A20" s="78" t="s">
        <v>168</v>
      </c>
      <c r="B20" s="72"/>
      <c r="C20" s="109"/>
      <c r="G20" s="109">
        <f>+'W-Revenue Summary'!AE55</f>
        <v>5696853.75</v>
      </c>
      <c r="K20" s="151"/>
    </row>
    <row r="21" spans="1:11">
      <c r="A21" s="78" t="s">
        <v>171</v>
      </c>
      <c r="B21" s="72"/>
      <c r="C21" s="109"/>
      <c r="G21" s="110">
        <f>G20/G19</f>
        <v>11.537160554332571</v>
      </c>
      <c r="K21" s="151"/>
    </row>
    <row r="22" spans="1:11">
      <c r="A22" s="72"/>
      <c r="B22" s="72"/>
      <c r="C22" s="109"/>
      <c r="G22" s="109"/>
      <c r="K22" s="151"/>
    </row>
    <row r="23" spans="1:11">
      <c r="K23" s="151"/>
    </row>
    <row r="24" spans="1:11">
      <c r="A24" s="72" t="s">
        <v>174</v>
      </c>
      <c r="B24" s="74"/>
      <c r="K24" s="151"/>
    </row>
    <row r="25" spans="1:11">
      <c r="A25" s="74" t="s">
        <v>90</v>
      </c>
      <c r="B25" s="74"/>
      <c r="C25" s="102">
        <f>+'W-Bills Summary'!AA43</f>
        <v>24</v>
      </c>
      <c r="E25" s="104">
        <f>+'W-Rate Summary'!AD42</f>
        <v>1</v>
      </c>
      <c r="G25" s="102">
        <f t="shared" ref="G25:G31" si="3">E25*C25</f>
        <v>24</v>
      </c>
      <c r="I25" s="111">
        <f>ROUND(+G$34*E25,2)</f>
        <v>2.2599999999999998</v>
      </c>
      <c r="K25" s="148">
        <f t="shared" ref="K25:K31" si="4">+I25*C25</f>
        <v>54.239999999999995</v>
      </c>
    </row>
    <row r="26" spans="1:11">
      <c r="A26" s="74" t="s">
        <v>29</v>
      </c>
      <c r="B26" s="74"/>
      <c r="C26" s="102">
        <f>+'W-Bills Summary'!AA44</f>
        <v>156</v>
      </c>
      <c r="E26" s="104">
        <f>+'W-Rate Summary'!AD43</f>
        <v>1.6</v>
      </c>
      <c r="G26" s="102">
        <f t="shared" si="3"/>
        <v>249.60000000000002</v>
      </c>
      <c r="I26" s="111">
        <f t="shared" ref="I26:I31" si="5">ROUND(+G$34*E26,2)</f>
        <v>3.61</v>
      </c>
      <c r="K26" s="149">
        <f t="shared" si="4"/>
        <v>563.16</v>
      </c>
    </row>
    <row r="27" spans="1:11">
      <c r="A27" s="74" t="s">
        <v>31</v>
      </c>
      <c r="B27" s="74"/>
      <c r="C27" s="102">
        <f>+'W-Bills Summary'!AA45</f>
        <v>276</v>
      </c>
      <c r="E27" s="104">
        <f>+'W-Rate Summary'!AD44</f>
        <v>5</v>
      </c>
      <c r="G27" s="102">
        <f t="shared" si="3"/>
        <v>1380</v>
      </c>
      <c r="I27" s="111">
        <f t="shared" si="5"/>
        <v>11.29</v>
      </c>
      <c r="K27" s="149">
        <f t="shared" si="4"/>
        <v>3116.04</v>
      </c>
    </row>
    <row r="28" spans="1:11">
      <c r="A28" s="74" t="s">
        <v>32</v>
      </c>
      <c r="B28" s="74"/>
      <c r="C28" s="102">
        <f>+'W-Bills Summary'!AA46</f>
        <v>360</v>
      </c>
      <c r="E28" s="104">
        <f>+'W-Rate Summary'!AD45</f>
        <v>10</v>
      </c>
      <c r="G28" s="102">
        <f t="shared" si="3"/>
        <v>3600</v>
      </c>
      <c r="I28" s="111">
        <f t="shared" si="5"/>
        <v>22.59</v>
      </c>
      <c r="K28" s="149">
        <f t="shared" si="4"/>
        <v>8132.4</v>
      </c>
    </row>
    <row r="29" spans="1:11">
      <c r="A29" s="74" t="s">
        <v>48</v>
      </c>
      <c r="B29" s="72"/>
      <c r="C29" s="102">
        <f>+'W-Bills Summary'!AA47</f>
        <v>60</v>
      </c>
      <c r="E29" s="104">
        <f>+'W-Rate Summary'!AD46</f>
        <v>16</v>
      </c>
      <c r="G29" s="102">
        <f t="shared" si="3"/>
        <v>960</v>
      </c>
      <c r="I29" s="111">
        <f t="shared" si="5"/>
        <v>36.14</v>
      </c>
      <c r="K29" s="149">
        <f t="shared" si="4"/>
        <v>2168.4</v>
      </c>
    </row>
    <row r="30" spans="1:11">
      <c r="A30" s="74" t="s">
        <v>54</v>
      </c>
      <c r="B30" s="72"/>
      <c r="C30" s="102">
        <f>+'W-Bills Summary'!AA48</f>
        <v>0</v>
      </c>
      <c r="E30" s="104">
        <f>+'W-Rate Summary'!AD47</f>
        <v>23</v>
      </c>
      <c r="G30" s="102">
        <f t="shared" si="3"/>
        <v>0</v>
      </c>
      <c r="I30" s="111">
        <f t="shared" si="5"/>
        <v>51.95</v>
      </c>
      <c r="K30" s="149">
        <f t="shared" si="4"/>
        <v>0</v>
      </c>
    </row>
    <row r="31" spans="1:11">
      <c r="A31" s="74" t="s">
        <v>59</v>
      </c>
      <c r="B31" s="72"/>
      <c r="C31" s="102">
        <f>+'W-Bills Summary'!AA49</f>
        <v>0</v>
      </c>
      <c r="E31" s="104">
        <f>+'W-Rate Summary'!AD48</f>
        <v>43</v>
      </c>
      <c r="G31" s="102">
        <f t="shared" si="3"/>
        <v>0</v>
      </c>
      <c r="I31" s="111">
        <f t="shared" si="5"/>
        <v>97.12</v>
      </c>
      <c r="K31" s="149">
        <f t="shared" si="4"/>
        <v>0</v>
      </c>
    </row>
    <row r="32" spans="1:11">
      <c r="A32" s="74"/>
      <c r="B32" s="72"/>
      <c r="C32" s="102"/>
      <c r="E32" s="104"/>
      <c r="G32" s="105">
        <f>SUM(G25:G31)</f>
        <v>6213.6</v>
      </c>
      <c r="K32" s="150">
        <f>SUM(K25:K31)</f>
        <v>14034.24</v>
      </c>
    </row>
    <row r="33" spans="1:24">
      <c r="A33" s="78" t="s">
        <v>168</v>
      </c>
      <c r="B33" s="72"/>
      <c r="C33" s="109"/>
      <c r="G33" s="109">
        <f>+'W-Revenue Summary'!AE57</f>
        <v>14034.204719848931</v>
      </c>
    </row>
    <row r="34" spans="1:24">
      <c r="A34" s="78" t="s">
        <v>171</v>
      </c>
      <c r="B34" s="72"/>
      <c r="C34" s="109"/>
      <c r="G34" s="110">
        <f>G33/G32+0</f>
        <v>2.2586269988169385</v>
      </c>
    </row>
    <row r="35" spans="1:24">
      <c r="V35" s="151">
        <f>+K32+K19</f>
        <v>5711662.5999999987</v>
      </c>
    </row>
    <row r="36" spans="1:24">
      <c r="A36" s="112" t="s">
        <v>175</v>
      </c>
    </row>
    <row r="37" spans="1:24">
      <c r="A37" s="112"/>
      <c r="C37" s="113">
        <v>1000</v>
      </c>
      <c r="E37" s="103" t="s">
        <v>179</v>
      </c>
      <c r="G37" s="103" t="s">
        <v>164</v>
      </c>
      <c r="K37" s="103" t="s">
        <v>170</v>
      </c>
    </row>
    <row r="38" spans="1:24">
      <c r="A38" s="112"/>
      <c r="C38" s="156" t="s">
        <v>178</v>
      </c>
      <c r="E38" s="156" t="s">
        <v>301</v>
      </c>
      <c r="G38" s="156" t="s">
        <v>179</v>
      </c>
      <c r="I38" s="156" t="s">
        <v>17</v>
      </c>
      <c r="K38" s="156" t="s">
        <v>169</v>
      </c>
    </row>
    <row r="39" spans="1:24">
      <c r="A39" s="118" t="s">
        <v>176</v>
      </c>
    </row>
    <row r="40" spans="1:24">
      <c r="A40" s="74" t="s">
        <v>160</v>
      </c>
      <c r="B40" s="74" t="s">
        <v>116</v>
      </c>
      <c r="C40" s="115">
        <f>+'W-Usage Summary'!AM22</f>
        <v>1782061</v>
      </c>
      <c r="E40" s="121">
        <f>+'W-Rate Summary'!AE18</f>
        <v>1</v>
      </c>
      <c r="G40" s="102">
        <f t="shared" ref="G40:G45" si="6">E40*C40</f>
        <v>1782061</v>
      </c>
      <c r="I40" s="111">
        <f>ROUND(+G$48*E40,2)+O40</f>
        <v>1.97</v>
      </c>
      <c r="K40" s="148">
        <f>+I40*C40</f>
        <v>3510660.17</v>
      </c>
      <c r="M40" s="282">
        <f>+'W-Usage Summary'!AQ22</f>
        <v>1782061</v>
      </c>
      <c r="O40" s="119"/>
      <c r="X40" s="119"/>
    </row>
    <row r="41" spans="1:24">
      <c r="A41" s="74" t="s">
        <v>161</v>
      </c>
      <c r="B41" s="74" t="s">
        <v>110</v>
      </c>
      <c r="C41" s="115">
        <v>639915.69999999995</v>
      </c>
      <c r="E41" s="121">
        <f>+'W-Rate Summary'!AE19</f>
        <v>1.5</v>
      </c>
      <c r="G41" s="102">
        <f t="shared" si="6"/>
        <v>959873.54999999993</v>
      </c>
      <c r="I41" s="111">
        <f>ROUND(+G$48*E41,2)+O41</f>
        <v>2.95</v>
      </c>
      <c r="K41" s="149">
        <f>+I41*C41</f>
        <v>1887751.3149999999</v>
      </c>
      <c r="M41" s="282">
        <f>+'W-Usage Summary'!AQ23</f>
        <v>639915.70697060984</v>
      </c>
      <c r="O41" s="119">
        <v>0</v>
      </c>
      <c r="X41" s="119"/>
    </row>
    <row r="42" spans="1:24">
      <c r="A42" s="74" t="s">
        <v>162</v>
      </c>
      <c r="B42" s="77" t="s">
        <v>111</v>
      </c>
      <c r="C42" s="115">
        <v>887108.8</v>
      </c>
      <c r="E42" s="121">
        <f>+'W-Rate Summary'!AE20</f>
        <v>2</v>
      </c>
      <c r="G42" s="102">
        <f t="shared" si="6"/>
        <v>1774217.6</v>
      </c>
      <c r="I42" s="111">
        <f>ROUND(+G$48*E42,2)+O42</f>
        <v>3.93</v>
      </c>
      <c r="K42" s="149">
        <f>+I42*C42</f>
        <v>3486337.5840000003</v>
      </c>
      <c r="M42" s="282">
        <f>+'W-Usage Summary'!AQ24</f>
        <v>887108.81895371026</v>
      </c>
      <c r="O42" s="119">
        <v>0</v>
      </c>
      <c r="X42" s="119"/>
    </row>
    <row r="43" spans="1:24">
      <c r="A43" s="74"/>
      <c r="B43" s="77"/>
      <c r="C43" s="116">
        <f>SUM(C40:C42)</f>
        <v>3309085.5</v>
      </c>
      <c r="E43" s="121"/>
      <c r="G43" s="105">
        <f>SUM(G33:G42)</f>
        <v>4530188.6133468477</v>
      </c>
      <c r="K43" s="151"/>
      <c r="O43" s="119"/>
      <c r="X43" s="119"/>
    </row>
    <row r="44" spans="1:24">
      <c r="A44" s="78" t="s">
        <v>177</v>
      </c>
      <c r="E44" s="121"/>
      <c r="K44" s="151"/>
      <c r="O44" s="119"/>
      <c r="X44" s="119"/>
    </row>
    <row r="45" spans="1:24">
      <c r="A45" s="74" t="s">
        <v>159</v>
      </c>
      <c r="C45" s="115">
        <f>'W-Usage Summary'!AU18</f>
        <v>563590</v>
      </c>
      <c r="E45" s="121">
        <v>1.5</v>
      </c>
      <c r="G45" s="102">
        <f t="shared" si="6"/>
        <v>845385</v>
      </c>
      <c r="I45" s="111">
        <f>ROUND(+G$48*E45,2)+O45</f>
        <v>2.98</v>
      </c>
      <c r="K45" s="148">
        <f>+I45*C45</f>
        <v>1679498.2</v>
      </c>
      <c r="O45" s="119">
        <v>0.03</v>
      </c>
      <c r="X45" s="119">
        <v>-0.01</v>
      </c>
    </row>
    <row r="46" spans="1:24">
      <c r="G46" s="105">
        <f>SUM(G43:G45)</f>
        <v>5375573.6133468477</v>
      </c>
      <c r="K46" s="150">
        <f>SUM(K40:K45)</f>
        <v>10564247.268999999</v>
      </c>
    </row>
    <row r="47" spans="1:24">
      <c r="A47" s="78" t="s">
        <v>168</v>
      </c>
      <c r="B47" s="72"/>
      <c r="C47" s="109"/>
      <c r="G47" s="109">
        <f>+'W-Revenue Summary'!AE56</f>
        <v>10565837.045280151</v>
      </c>
      <c r="K47" s="151"/>
    </row>
    <row r="48" spans="1:24">
      <c r="A48" s="78" t="s">
        <v>171</v>
      </c>
      <c r="B48" s="72"/>
      <c r="C48" s="109"/>
      <c r="G48" s="110">
        <f>G47/G46</f>
        <v>1.9655273660557</v>
      </c>
      <c r="K48" s="151"/>
    </row>
    <row r="49" spans="8:11">
      <c r="K49" s="151"/>
    </row>
    <row r="50" spans="8:11" ht="15.75" thickBot="1">
      <c r="H50" s="120"/>
      <c r="I50" s="120" t="s">
        <v>180</v>
      </c>
      <c r="K50" s="270">
        <f>+K46+K32+K19</f>
        <v>16275909.868999999</v>
      </c>
    </row>
    <row r="51" spans="8:11" ht="15.75" thickTop="1">
      <c r="K51" s="151"/>
    </row>
    <row r="52" spans="8:11">
      <c r="I52" s="120" t="s">
        <v>168</v>
      </c>
      <c r="K52" s="151">
        <f>+'W-Revenue Summary'!AE64</f>
        <v>16276725</v>
      </c>
    </row>
    <row r="53" spans="8:11">
      <c r="I53" s="120" t="s">
        <v>181</v>
      </c>
      <c r="K53" s="151">
        <f>+K50-K52</f>
        <v>-815.13100000098348</v>
      </c>
    </row>
  </sheetData>
  <printOptions horizontalCentered="1"/>
  <pageMargins left="0.7" right="0.2" top="0.5" bottom="0.25" header="0.3" footer="0.3"/>
  <pageSetup scale="86" orientation="portrait" r:id="rId1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9"/>
  <sheetViews>
    <sheetView topLeftCell="A37" zoomScale="90" zoomScaleNormal="90" workbookViewId="0">
      <selection activeCell="T8" sqref="T8"/>
    </sheetView>
  </sheetViews>
  <sheetFormatPr defaultRowHeight="15"/>
  <cols>
    <col min="1" max="1" width="20.7109375" style="72" customWidth="1"/>
    <col min="2" max="2" width="5.7109375" style="72" bestFit="1" customWidth="1"/>
    <col min="3" max="3" width="7.85546875" style="72" bestFit="1" customWidth="1"/>
    <col min="4" max="4" width="2.7109375" style="72" customWidth="1"/>
    <col min="5" max="5" width="8.7109375" style="72" bestFit="1" customWidth="1"/>
    <col min="6" max="6" width="2.7109375" style="72" customWidth="1"/>
    <col min="7" max="7" width="7.140625" style="72" bestFit="1" customWidth="1"/>
    <col min="8" max="8" width="2.7109375" style="72" customWidth="1"/>
    <col min="9" max="9" width="10" style="72" bestFit="1" customWidth="1"/>
    <col min="10" max="10" width="2.7109375" style="72" customWidth="1"/>
    <col min="11" max="11" width="9.5703125" style="72" bestFit="1" customWidth="1"/>
    <col min="12" max="12" width="2.7109375" style="72" customWidth="1"/>
    <col min="13" max="13" width="9.28515625" style="72" customWidth="1"/>
    <col min="14" max="14" width="2.7109375" style="72" customWidth="1"/>
    <col min="15" max="15" width="11.5703125" style="72" bestFit="1" customWidth="1"/>
    <col min="16" max="16" width="2.7109375" style="72" customWidth="1"/>
    <col min="17" max="17" width="7.42578125" style="72" bestFit="1" customWidth="1"/>
    <col min="18" max="18" width="2.7109375" style="72" customWidth="1"/>
    <col min="19" max="19" width="10.140625" style="72" bestFit="1" customWidth="1"/>
    <col min="20" max="20" width="2.7109375" style="72" customWidth="1"/>
    <col min="21" max="21" width="9.85546875" style="72" bestFit="1" customWidth="1"/>
    <col min="22" max="22" width="2.7109375" style="72" customWidth="1"/>
    <col min="23" max="23" width="8" style="72" bestFit="1" customWidth="1"/>
    <col min="24" max="24" width="2.7109375" style="72" customWidth="1"/>
    <col min="25" max="25" width="9.140625" style="72"/>
    <col min="26" max="26" width="2.5703125" style="72" customWidth="1"/>
    <col min="27" max="27" width="9.7109375" style="72" bestFit="1" customWidth="1"/>
    <col min="28" max="28" width="1.7109375" style="72" customWidth="1"/>
    <col min="29" max="29" width="6.28515625" style="72" bestFit="1" customWidth="1"/>
    <col min="30" max="30" width="1.7109375" style="72" customWidth="1"/>
    <col min="31" max="31" width="10.5703125" style="72" bestFit="1" customWidth="1"/>
    <col min="32" max="32" width="1.7109375" style="72" customWidth="1"/>
    <col min="33" max="33" width="9.140625" style="72"/>
    <col min="34" max="34" width="1.7109375" style="72" customWidth="1"/>
    <col min="35" max="16384" width="9.140625" style="72"/>
  </cols>
  <sheetData>
    <row r="1" spans="1:31" ht="18.75">
      <c r="A1" s="71" t="s">
        <v>157</v>
      </c>
      <c r="AA1" s="74" t="str">
        <f>+'Water Rate Design'!$K$1</f>
        <v>Docket No. 160101 -WS</v>
      </c>
    </row>
    <row r="2" spans="1:31">
      <c r="A2" s="72" t="s">
        <v>148</v>
      </c>
      <c r="AA2" s="74" t="str">
        <f>+'Water Rate Design'!$K$2</f>
        <v>Exhibit JFG-Rate Design</v>
      </c>
    </row>
    <row r="3" spans="1:31">
      <c r="AA3" s="74" t="s">
        <v>317</v>
      </c>
    </row>
    <row r="4" spans="1:31">
      <c r="G4" s="73" t="s">
        <v>94</v>
      </c>
      <c r="I4" s="73" t="s">
        <v>147</v>
      </c>
      <c r="M4" s="73"/>
      <c r="N4" s="73"/>
      <c r="O4" s="73"/>
      <c r="P4" s="73"/>
      <c r="Q4" s="73"/>
      <c r="R4" s="73"/>
      <c r="S4" s="73" t="s">
        <v>112</v>
      </c>
      <c r="T4" s="73"/>
      <c r="U4" s="73" t="s">
        <v>112</v>
      </c>
      <c r="V4" s="73"/>
      <c r="W4" s="73"/>
      <c r="X4" s="73"/>
      <c r="Y4" s="73"/>
    </row>
    <row r="5" spans="1:31">
      <c r="A5" s="72" t="s">
        <v>83</v>
      </c>
      <c r="C5" s="73" t="s">
        <v>86</v>
      </c>
      <c r="E5" s="72" t="s">
        <v>92</v>
      </c>
      <c r="G5" s="73" t="s">
        <v>95</v>
      </c>
      <c r="I5" s="73" t="s">
        <v>96</v>
      </c>
      <c r="K5" s="73" t="s">
        <v>118</v>
      </c>
      <c r="M5" s="73" t="s">
        <v>104</v>
      </c>
      <c r="N5" s="73"/>
      <c r="O5" s="73" t="s">
        <v>107</v>
      </c>
      <c r="P5" s="73"/>
      <c r="Q5" s="73" t="s">
        <v>108</v>
      </c>
      <c r="R5" s="73"/>
      <c r="S5" s="73" t="s">
        <v>113</v>
      </c>
      <c r="T5" s="73"/>
      <c r="U5" s="73" t="s">
        <v>119</v>
      </c>
      <c r="V5" s="73"/>
      <c r="W5" s="73" t="s">
        <v>114</v>
      </c>
      <c r="X5" s="73"/>
      <c r="Y5" s="73" t="s">
        <v>115</v>
      </c>
    </row>
    <row r="6" spans="1:31">
      <c r="A6" s="74" t="s">
        <v>85</v>
      </c>
      <c r="C6" s="90">
        <v>1</v>
      </c>
      <c r="E6" s="90">
        <f>+C6+1</f>
        <v>2</v>
      </c>
      <c r="G6" s="90">
        <f>+E6+1</f>
        <v>3</v>
      </c>
      <c r="I6" s="90">
        <f>+G6+1</f>
        <v>4</v>
      </c>
      <c r="K6" s="90">
        <f>+I6+1</f>
        <v>5</v>
      </c>
      <c r="M6" s="90">
        <f>+K6+1</f>
        <v>6</v>
      </c>
      <c r="O6" s="90">
        <f>+M6+1</f>
        <v>7</v>
      </c>
      <c r="Q6" s="90">
        <f>+O6+1</f>
        <v>8</v>
      </c>
      <c r="S6" s="90">
        <f>+Q6+1</f>
        <v>9</v>
      </c>
      <c r="U6" s="90">
        <f>+S6+1</f>
        <v>10</v>
      </c>
      <c r="W6" s="90">
        <f>+U6+1</f>
        <v>11</v>
      </c>
      <c r="Y6" s="90">
        <f>+W6+1</f>
        <v>12</v>
      </c>
      <c r="AA6" s="90" t="s">
        <v>150</v>
      </c>
      <c r="AC6" s="73"/>
    </row>
    <row r="7" spans="1:31">
      <c r="A7" s="74" t="s">
        <v>81</v>
      </c>
      <c r="C7" s="91">
        <f>'W-Bills Summary'!C7*'W-Rate Summary'!C7</f>
        <v>125016.32000000001</v>
      </c>
      <c r="D7" s="80"/>
      <c r="E7" s="91">
        <f>'W-Bills Summary'!E7*'W-Rate Summary'!E7</f>
        <v>144851.51999999999</v>
      </c>
      <c r="F7" s="79"/>
      <c r="G7" s="91">
        <f>'W-Bills Summary'!G7*'W-Rate Summary'!G7</f>
        <v>20339.439999999999</v>
      </c>
      <c r="H7" s="79"/>
      <c r="I7" s="91">
        <f>'W-Bills Summary'!I7*'W-Rate Summary'!I7</f>
        <v>1146146.26</v>
      </c>
      <c r="J7" s="79"/>
      <c r="K7" s="91">
        <f>'W-Bills Summary'!K7*'W-Rate Summary'!K7</f>
        <v>80905.55</v>
      </c>
      <c r="L7" s="79"/>
      <c r="M7" s="91">
        <f>'W-Bills Summary'!M7*'W-Rate Summary'!M7</f>
        <v>329745.60000000003</v>
      </c>
      <c r="N7" s="79"/>
      <c r="O7" s="91">
        <f>'W-Bills Summary'!O7*'W-Rate Summary'!O7</f>
        <v>4469.6000000000004</v>
      </c>
      <c r="P7" s="79"/>
      <c r="Q7" s="91">
        <f>'W-Bills Summary'!Q7*'W-Rate Summary'!Q7</f>
        <v>31788.9</v>
      </c>
      <c r="R7" s="79"/>
      <c r="S7" s="91">
        <f>'W-Bills Summary'!S7*'W-Rate Summary'!S7</f>
        <v>238065.98</v>
      </c>
      <c r="T7" s="79"/>
      <c r="U7" s="91">
        <f>'W-Bills Summary'!U7*'W-Rate Summary'!U7</f>
        <v>157376.16</v>
      </c>
      <c r="V7" s="79"/>
      <c r="W7" s="91">
        <f>'W-Bills Summary'!W7*'W-Rate Summary'!W7</f>
        <v>67492.319999999992</v>
      </c>
      <c r="X7" s="79"/>
      <c r="Y7" s="91">
        <f>'W-Bills Summary'!Y7*'W-Rate Summary'!Y7</f>
        <v>258818.56</v>
      </c>
      <c r="Z7" s="79"/>
      <c r="AA7" s="91">
        <f>SUM(C7:Y7)</f>
        <v>2605016.2100000004</v>
      </c>
      <c r="AB7" s="74"/>
      <c r="AC7" s="79"/>
      <c r="AD7" s="79"/>
      <c r="AE7" s="79"/>
    </row>
    <row r="8" spans="1:31">
      <c r="A8" s="74" t="s">
        <v>26</v>
      </c>
      <c r="C8" s="91">
        <f>'W-Bills Summary'!C8*'W-Rate Summary'!C8</f>
        <v>0</v>
      </c>
      <c r="D8" s="80"/>
      <c r="E8" s="91">
        <f>'W-Bills Summary'!E8*'W-Rate Summary'!E8</f>
        <v>0</v>
      </c>
      <c r="F8" s="79"/>
      <c r="G8" s="91">
        <f>'W-Bills Summary'!G8*'W-Rate Summary'!G8</f>
        <v>0</v>
      </c>
      <c r="H8" s="79"/>
      <c r="I8" s="91">
        <f>'W-Bills Summary'!I8*'W-Rate Summary'!I8</f>
        <v>0</v>
      </c>
      <c r="J8" s="79"/>
      <c r="K8" s="91">
        <f>'W-Bills Summary'!K8*'W-Rate Summary'!K8</f>
        <v>0</v>
      </c>
      <c r="L8" s="79"/>
      <c r="M8" s="91">
        <f>'W-Bills Summary'!M8*'W-Rate Summary'!M8</f>
        <v>0</v>
      </c>
      <c r="N8" s="79"/>
      <c r="O8" s="91">
        <f>'W-Bills Summary'!O8*'W-Rate Summary'!O8</f>
        <v>0</v>
      </c>
      <c r="P8" s="79"/>
      <c r="Q8" s="91">
        <f>'W-Bills Summary'!Q8*'W-Rate Summary'!Q8</f>
        <v>0</v>
      </c>
      <c r="R8" s="79"/>
      <c r="S8" s="91">
        <f>'W-Bills Summary'!S8*'W-Rate Summary'!S8</f>
        <v>0</v>
      </c>
      <c r="T8" s="79"/>
      <c r="U8" s="91">
        <f>'W-Bills Summary'!U8*'W-Rate Summary'!U8</f>
        <v>0</v>
      </c>
      <c r="V8" s="79"/>
      <c r="W8" s="91">
        <f>'W-Bills Summary'!W8*'W-Rate Summary'!W8</f>
        <v>0</v>
      </c>
      <c r="X8" s="79"/>
      <c r="Y8" s="91">
        <f>'W-Bills Summary'!Y8*'W-Rate Summary'!Y8</f>
        <v>0</v>
      </c>
      <c r="Z8" s="79"/>
      <c r="AA8" s="91">
        <f t="shared" ref="AA8:AA16" si="0">SUM(C8:Y8)</f>
        <v>0</v>
      </c>
      <c r="AB8" s="74"/>
      <c r="AC8" s="79"/>
      <c r="AD8" s="79"/>
      <c r="AE8" s="79"/>
    </row>
    <row r="9" spans="1:31">
      <c r="A9" s="74" t="s">
        <v>82</v>
      </c>
      <c r="C9" s="91">
        <f>'W-Bills Summary'!C9*'W-Rate Summary'!C9</f>
        <v>0</v>
      </c>
      <c r="D9" s="80"/>
      <c r="E9" s="91">
        <f>'W-Bills Summary'!E9*'W-Rate Summary'!E9</f>
        <v>0</v>
      </c>
      <c r="F9" s="79"/>
      <c r="G9" s="91">
        <f>'W-Bills Summary'!G9*'W-Rate Summary'!G9</f>
        <v>0</v>
      </c>
      <c r="H9" s="79"/>
      <c r="I9" s="91">
        <f>'W-Bills Summary'!I9*'W-Rate Summary'!I9</f>
        <v>14291.9</v>
      </c>
      <c r="J9" s="79"/>
      <c r="K9" s="91">
        <f>'W-Bills Summary'!K9*'W-Rate Summary'!K9</f>
        <v>0</v>
      </c>
      <c r="L9" s="79"/>
      <c r="M9" s="91">
        <f>'W-Bills Summary'!M9*'W-Rate Summary'!M9</f>
        <v>455692.08</v>
      </c>
      <c r="N9" s="79"/>
      <c r="O9" s="91">
        <f>'W-Bills Summary'!O9*'W-Rate Summary'!O9</f>
        <v>43197.9</v>
      </c>
      <c r="P9" s="79"/>
      <c r="Q9" s="91">
        <f>'W-Bills Summary'!Q9*'W-Rate Summary'!Q9</f>
        <v>256.32</v>
      </c>
      <c r="R9" s="79"/>
      <c r="S9" s="91">
        <f>'W-Bills Summary'!S9*'W-Rate Summary'!S9</f>
        <v>708.72</v>
      </c>
      <c r="T9" s="79"/>
      <c r="U9" s="91">
        <f>'W-Bills Summary'!U9*'W-Rate Summary'!U9</f>
        <v>0</v>
      </c>
      <c r="V9" s="79"/>
      <c r="W9" s="91">
        <f>'W-Bills Summary'!W9*'W-Rate Summary'!W9</f>
        <v>2755.77</v>
      </c>
      <c r="X9" s="79"/>
      <c r="Y9" s="91">
        <f>'W-Bills Summary'!Y9*'W-Rate Summary'!Y9</f>
        <v>3846.1499999999996</v>
      </c>
      <c r="Z9" s="79"/>
      <c r="AA9" s="91">
        <f t="shared" si="0"/>
        <v>520748.84000000008</v>
      </c>
      <c r="AB9" s="74"/>
      <c r="AC9" s="79"/>
      <c r="AD9" s="79"/>
      <c r="AE9" s="79"/>
    </row>
    <row r="10" spans="1:31">
      <c r="A10" s="74" t="s">
        <v>90</v>
      </c>
      <c r="C10" s="91">
        <f>'W-Bills Summary'!C10*'W-Rate Summary'!C10</f>
        <v>0</v>
      </c>
      <c r="D10" s="80"/>
      <c r="E10" s="91">
        <f>'W-Bills Summary'!E10*'W-Rate Summary'!E10</f>
        <v>0</v>
      </c>
      <c r="F10" s="79"/>
      <c r="G10" s="91">
        <f>'W-Bills Summary'!G10*'W-Rate Summary'!G10</f>
        <v>0</v>
      </c>
      <c r="H10" s="79"/>
      <c r="I10" s="91">
        <f>'W-Bills Summary'!I10*'W-Rate Summary'!I10</f>
        <v>1729.8</v>
      </c>
      <c r="J10" s="79"/>
      <c r="K10" s="91">
        <f>'W-Bills Summary'!K10*'W-Rate Summary'!K10</f>
        <v>0</v>
      </c>
      <c r="L10" s="79"/>
      <c r="M10" s="91">
        <f>'W-Bills Summary'!M10*'W-Rate Summary'!M10</f>
        <v>4291.7699999999995</v>
      </c>
      <c r="N10" s="79"/>
      <c r="O10" s="91">
        <f>'W-Bills Summary'!O10*'W-Rate Summary'!O10</f>
        <v>0</v>
      </c>
      <c r="P10" s="79"/>
      <c r="Q10" s="91">
        <f>'W-Bills Summary'!Q10*'W-Rate Summary'!Q10</f>
        <v>0</v>
      </c>
      <c r="R10" s="79"/>
      <c r="S10" s="91">
        <f>'W-Bills Summary'!S10*'W-Rate Summary'!S10</f>
        <v>0</v>
      </c>
      <c r="T10" s="79"/>
      <c r="U10" s="91">
        <f>'W-Bills Summary'!U10*'W-Rate Summary'!U10</f>
        <v>0</v>
      </c>
      <c r="V10" s="79"/>
      <c r="W10" s="91">
        <f>'W-Bills Summary'!W10*'W-Rate Summary'!W10</f>
        <v>0</v>
      </c>
      <c r="X10" s="79"/>
      <c r="Y10" s="91">
        <f>'W-Bills Summary'!Y10*'W-Rate Summary'!Y10</f>
        <v>0</v>
      </c>
      <c r="Z10" s="79"/>
      <c r="AA10" s="91">
        <f t="shared" si="0"/>
        <v>6021.57</v>
      </c>
      <c r="AB10" s="74"/>
      <c r="AC10" s="79"/>
      <c r="AD10" s="79"/>
      <c r="AE10" s="79"/>
    </row>
    <row r="11" spans="1:31">
      <c r="A11" s="74" t="s">
        <v>29</v>
      </c>
      <c r="C11" s="91">
        <f>'W-Bills Summary'!C11*'W-Rate Summary'!C11</f>
        <v>0</v>
      </c>
      <c r="D11" s="80"/>
      <c r="E11" s="91">
        <f>'W-Bills Summary'!E11*'W-Rate Summary'!E11</f>
        <v>0</v>
      </c>
      <c r="F11" s="79"/>
      <c r="G11" s="91">
        <f>'W-Bills Summary'!G11*'W-Rate Summary'!G11</f>
        <v>0</v>
      </c>
      <c r="H11" s="79"/>
      <c r="I11" s="91">
        <f>'W-Bills Summary'!I11*'W-Rate Summary'!I11</f>
        <v>884.00500000000011</v>
      </c>
      <c r="J11" s="79"/>
      <c r="K11" s="91">
        <f>'W-Bills Summary'!K11*'W-Rate Summary'!K11</f>
        <v>0</v>
      </c>
      <c r="L11" s="79"/>
      <c r="M11" s="91">
        <f>'W-Bills Summary'!M11*'W-Rate Summary'!M11</f>
        <v>0</v>
      </c>
      <c r="N11" s="79"/>
      <c r="O11" s="91">
        <f>'W-Bills Summary'!O11*'W-Rate Summary'!O11</f>
        <v>0</v>
      </c>
      <c r="P11" s="79"/>
      <c r="Q11" s="91">
        <f>'W-Bills Summary'!Q11*'W-Rate Summary'!Q11</f>
        <v>0</v>
      </c>
      <c r="R11" s="79"/>
      <c r="S11" s="91">
        <f>'W-Bills Summary'!S11*'W-Rate Summary'!S11</f>
        <v>0</v>
      </c>
      <c r="T11" s="79"/>
      <c r="U11" s="91">
        <f>'W-Bills Summary'!U11*'W-Rate Summary'!U11</f>
        <v>0</v>
      </c>
      <c r="V11" s="79"/>
      <c r="W11" s="91">
        <f>'W-Bills Summary'!W11*'W-Rate Summary'!W11</f>
        <v>0</v>
      </c>
      <c r="X11" s="79"/>
      <c r="Y11" s="91">
        <f>'W-Bills Summary'!Y11*'W-Rate Summary'!Y11</f>
        <v>0</v>
      </c>
      <c r="Z11" s="79"/>
      <c r="AA11" s="91">
        <f t="shared" si="0"/>
        <v>884.00500000000011</v>
      </c>
      <c r="AB11" s="74"/>
      <c r="AC11" s="79"/>
      <c r="AD11" s="79"/>
      <c r="AE11" s="79"/>
    </row>
    <row r="12" spans="1:31">
      <c r="A12" s="74" t="s">
        <v>30</v>
      </c>
      <c r="C12" s="91">
        <f>'W-Bills Summary'!C12*'W-Rate Summary'!C12</f>
        <v>0</v>
      </c>
      <c r="D12" s="80"/>
      <c r="E12" s="91">
        <f>'W-Bills Summary'!E12*'W-Rate Summary'!E12</f>
        <v>0</v>
      </c>
      <c r="F12" s="79"/>
      <c r="G12" s="91">
        <f>'W-Bills Summary'!G12*'W-Rate Summary'!G12</f>
        <v>0</v>
      </c>
      <c r="H12" s="79"/>
      <c r="I12" s="91">
        <f>'W-Bills Summary'!I12*'W-Rate Summary'!I12</f>
        <v>0</v>
      </c>
      <c r="J12" s="79"/>
      <c r="K12" s="91">
        <f>'W-Bills Summary'!K12*'W-Rate Summary'!K12</f>
        <v>0</v>
      </c>
      <c r="L12" s="79"/>
      <c r="M12" s="91">
        <f>'W-Bills Summary'!M12*'W-Rate Summary'!M12</f>
        <v>0</v>
      </c>
      <c r="N12" s="79"/>
      <c r="O12" s="91">
        <f>'W-Bills Summary'!O12*'W-Rate Summary'!O12</f>
        <v>0</v>
      </c>
      <c r="P12" s="79"/>
      <c r="Q12" s="91">
        <f>'W-Bills Summary'!Q12*'W-Rate Summary'!Q12</f>
        <v>0</v>
      </c>
      <c r="R12" s="79"/>
      <c r="S12" s="91">
        <f>'W-Bills Summary'!S12*'W-Rate Summary'!S12</f>
        <v>0</v>
      </c>
      <c r="T12" s="79"/>
      <c r="U12" s="91">
        <f>'W-Bills Summary'!U12*'W-Rate Summary'!U12</f>
        <v>0</v>
      </c>
      <c r="V12" s="79"/>
      <c r="W12" s="91">
        <f>'W-Bills Summary'!W12*'W-Rate Summary'!W12</f>
        <v>0</v>
      </c>
      <c r="X12" s="79"/>
      <c r="Y12" s="91">
        <f>'W-Bills Summary'!Y12*'W-Rate Summary'!Y12</f>
        <v>0</v>
      </c>
      <c r="Z12" s="79"/>
      <c r="AA12" s="91">
        <f t="shared" si="0"/>
        <v>0</v>
      </c>
      <c r="AB12" s="74"/>
      <c r="AC12" s="79"/>
      <c r="AD12" s="79"/>
      <c r="AE12" s="79"/>
    </row>
    <row r="13" spans="1:31">
      <c r="A13" s="74" t="s">
        <v>31</v>
      </c>
      <c r="C13" s="91">
        <f>'W-Bills Summary'!C13*'W-Rate Summary'!C13</f>
        <v>0</v>
      </c>
      <c r="D13" s="80"/>
      <c r="E13" s="91">
        <f>'W-Bills Summary'!E13*'W-Rate Summary'!E13</f>
        <v>0</v>
      </c>
      <c r="F13" s="79"/>
      <c r="G13" s="91">
        <f>'W-Bills Summary'!G13*'W-Rate Summary'!G13</f>
        <v>0</v>
      </c>
      <c r="H13" s="79"/>
      <c r="I13" s="91">
        <f>'W-Bills Summary'!I13*'W-Rate Summary'!I13</f>
        <v>0</v>
      </c>
      <c r="J13" s="79"/>
      <c r="K13" s="91">
        <f>'W-Bills Summary'!K13*'W-Rate Summary'!K13</f>
        <v>0</v>
      </c>
      <c r="L13" s="79"/>
      <c r="M13" s="91">
        <f>'W-Bills Summary'!M13*'W-Rate Summary'!M13</f>
        <v>0</v>
      </c>
      <c r="N13" s="79"/>
      <c r="O13" s="91">
        <f>'W-Bills Summary'!O13*'W-Rate Summary'!O13</f>
        <v>0</v>
      </c>
      <c r="P13" s="79"/>
      <c r="Q13" s="91">
        <f>'W-Bills Summary'!Q13*'W-Rate Summary'!Q13</f>
        <v>0</v>
      </c>
      <c r="R13" s="79"/>
      <c r="S13" s="91">
        <f>'W-Bills Summary'!S13*'W-Rate Summary'!S13</f>
        <v>0</v>
      </c>
      <c r="T13" s="79"/>
      <c r="U13" s="91">
        <f>'W-Bills Summary'!U13*'W-Rate Summary'!U13</f>
        <v>0</v>
      </c>
      <c r="V13" s="79"/>
      <c r="W13" s="91">
        <f>'W-Bills Summary'!W13*'W-Rate Summary'!W13</f>
        <v>0</v>
      </c>
      <c r="X13" s="79"/>
      <c r="Y13" s="91">
        <f>'W-Bills Summary'!Y13*'W-Rate Summary'!Y13</f>
        <v>0</v>
      </c>
      <c r="Z13" s="79"/>
      <c r="AA13" s="91">
        <f t="shared" si="0"/>
        <v>0</v>
      </c>
      <c r="AB13" s="74"/>
      <c r="AC13" s="79"/>
      <c r="AD13" s="79"/>
      <c r="AE13" s="79"/>
    </row>
    <row r="14" spans="1:31">
      <c r="A14" s="74" t="s">
        <v>32</v>
      </c>
      <c r="C14" s="91">
        <f>'W-Bills Summary'!C14*'W-Rate Summary'!C14</f>
        <v>0</v>
      </c>
      <c r="D14" s="80"/>
      <c r="E14" s="91">
        <f>'W-Bills Summary'!E14*'W-Rate Summary'!E14</f>
        <v>0</v>
      </c>
      <c r="F14" s="79"/>
      <c r="G14" s="91">
        <f>'W-Bills Summary'!G14*'W-Rate Summary'!G14</f>
        <v>0</v>
      </c>
      <c r="H14" s="79"/>
      <c r="I14" s="91">
        <f>'W-Bills Summary'!I14*'W-Rate Summary'!I14</f>
        <v>0</v>
      </c>
      <c r="J14" s="79"/>
      <c r="K14" s="91">
        <f>'W-Bills Summary'!K14*'W-Rate Summary'!K14</f>
        <v>0</v>
      </c>
      <c r="L14" s="79"/>
      <c r="M14" s="91">
        <f>'W-Bills Summary'!M14*'W-Rate Summary'!M14</f>
        <v>0</v>
      </c>
      <c r="N14" s="79"/>
      <c r="O14" s="91">
        <f>'W-Bills Summary'!O14*'W-Rate Summary'!O14</f>
        <v>0</v>
      </c>
      <c r="P14" s="79"/>
      <c r="Q14" s="91">
        <f>'W-Bills Summary'!Q14*'W-Rate Summary'!Q14</f>
        <v>0</v>
      </c>
      <c r="R14" s="79"/>
      <c r="S14" s="91">
        <f>'W-Bills Summary'!S14*'W-Rate Summary'!S14</f>
        <v>0</v>
      </c>
      <c r="T14" s="79"/>
      <c r="U14" s="91">
        <f>'W-Bills Summary'!U14*'W-Rate Summary'!U14</f>
        <v>0</v>
      </c>
      <c r="V14" s="79"/>
      <c r="W14" s="91">
        <f>'W-Bills Summary'!W14*'W-Rate Summary'!W14</f>
        <v>0</v>
      </c>
      <c r="X14" s="79"/>
      <c r="Y14" s="91">
        <f>'W-Bills Summary'!Y14*'W-Rate Summary'!Y14</f>
        <v>0</v>
      </c>
      <c r="Z14" s="79"/>
      <c r="AA14" s="91">
        <f t="shared" si="0"/>
        <v>0</v>
      </c>
      <c r="AB14" s="74"/>
      <c r="AC14" s="79"/>
      <c r="AD14" s="79"/>
      <c r="AE14" s="79"/>
    </row>
    <row r="15" spans="1:31">
      <c r="A15" s="74" t="s">
        <v>48</v>
      </c>
      <c r="C15" s="91">
        <f>'W-Bills Summary'!C15*'W-Rate Summary'!C15</f>
        <v>0</v>
      </c>
      <c r="E15" s="91">
        <f>'W-Bills Summary'!E15*'W-Rate Summary'!E15</f>
        <v>0</v>
      </c>
      <c r="G15" s="91">
        <f>'W-Bills Summary'!G15*'W-Rate Summary'!G15</f>
        <v>0</v>
      </c>
      <c r="I15" s="91">
        <f>'W-Bills Summary'!I15*'W-Rate Summary'!I15</f>
        <v>39782.18</v>
      </c>
      <c r="J15" s="79"/>
      <c r="K15" s="91">
        <f>'W-Bills Summary'!K15*'W-Rate Summary'!K15</f>
        <v>0</v>
      </c>
      <c r="M15" s="91">
        <f>'W-Bills Summary'!M15*'W-Rate Summary'!M15</f>
        <v>0</v>
      </c>
      <c r="N15" s="79"/>
      <c r="O15" s="91">
        <f>'W-Bills Summary'!O15*'W-Rate Summary'!O15</f>
        <v>0</v>
      </c>
      <c r="Q15" s="91">
        <f>'W-Bills Summary'!Q15*'W-Rate Summary'!Q15</f>
        <v>0</v>
      </c>
      <c r="S15" s="91">
        <f>'W-Bills Summary'!S15*'W-Rate Summary'!S15</f>
        <v>0</v>
      </c>
      <c r="U15" s="91">
        <f>'W-Bills Summary'!U15*'W-Rate Summary'!U15</f>
        <v>0</v>
      </c>
      <c r="W15" s="91">
        <f>'W-Bills Summary'!W15*'W-Rate Summary'!W15</f>
        <v>0</v>
      </c>
      <c r="Y15" s="91">
        <f>'W-Bills Summary'!Y15*'W-Rate Summary'!Y15</f>
        <v>0</v>
      </c>
      <c r="AA15" s="91">
        <f t="shared" si="0"/>
        <v>39782.18</v>
      </c>
      <c r="AB15" s="74"/>
      <c r="AC15" s="79"/>
      <c r="AD15" s="79"/>
      <c r="AE15" s="79"/>
    </row>
    <row r="16" spans="1:31">
      <c r="A16" s="74" t="s">
        <v>54</v>
      </c>
      <c r="C16" s="91">
        <f>'W-Bills Summary'!C16*'W-Rate Summary'!C16</f>
        <v>0</v>
      </c>
      <c r="E16" s="91">
        <f>'W-Bills Summary'!E16*'W-Rate Summary'!E16</f>
        <v>0</v>
      </c>
      <c r="G16" s="91">
        <f>'W-Bills Summary'!G16*'W-Rate Summary'!G16</f>
        <v>0</v>
      </c>
      <c r="I16" s="91">
        <f>'W-Bills Summary'!I16*'W-Rate Summary'!I16</f>
        <v>0</v>
      </c>
      <c r="J16" s="79"/>
      <c r="K16" s="91">
        <f>'W-Bills Summary'!K16*'W-Rate Summary'!K16</f>
        <v>0</v>
      </c>
      <c r="M16" s="91">
        <f>'W-Bills Summary'!M16*'W-Rate Summary'!M16</f>
        <v>0</v>
      </c>
      <c r="O16" s="91">
        <f>'W-Bills Summary'!O16*'W-Rate Summary'!O16</f>
        <v>0</v>
      </c>
      <c r="Q16" s="91">
        <f>'W-Bills Summary'!Q16*'W-Rate Summary'!Q16</f>
        <v>0</v>
      </c>
      <c r="S16" s="91">
        <f>'W-Bills Summary'!S16*'W-Rate Summary'!S16</f>
        <v>0</v>
      </c>
      <c r="U16" s="91">
        <f>'W-Bills Summary'!U16*'W-Rate Summary'!U16</f>
        <v>0</v>
      </c>
      <c r="W16" s="91">
        <f>'W-Bills Summary'!W16*'W-Rate Summary'!W16</f>
        <v>0</v>
      </c>
      <c r="Y16" s="91">
        <f>'W-Bills Summary'!Y16*'W-Rate Summary'!Y16</f>
        <v>0</v>
      </c>
      <c r="AA16" s="91">
        <f t="shared" si="0"/>
        <v>0</v>
      </c>
      <c r="AB16" s="74"/>
      <c r="AC16" s="79"/>
      <c r="AD16" s="79"/>
      <c r="AE16" s="79"/>
    </row>
    <row r="17" spans="1:34">
      <c r="C17" s="97">
        <f>SUM(C6:C16)</f>
        <v>125017.32</v>
      </c>
      <c r="E17" s="97">
        <f>SUM(E6:E16)</f>
        <v>144853.51999999999</v>
      </c>
      <c r="G17" s="97">
        <f>SUM(G6:G16)</f>
        <v>20342.439999999999</v>
      </c>
      <c r="I17" s="97">
        <f>SUM(I7:I16)</f>
        <v>1202834.1449999998</v>
      </c>
      <c r="K17" s="97">
        <f>SUM(K6:K16)</f>
        <v>80910.55</v>
      </c>
      <c r="M17" s="97">
        <f>SUM(M6:M16)</f>
        <v>789735.45000000007</v>
      </c>
      <c r="O17" s="97">
        <f>SUM(O6:O16)</f>
        <v>47674.5</v>
      </c>
      <c r="Q17" s="97">
        <f>SUM(Q6:Q16)</f>
        <v>32053.22</v>
      </c>
      <c r="S17" s="97">
        <f>SUM(S6:S16)</f>
        <v>238783.7</v>
      </c>
      <c r="U17" s="97">
        <f>SUM(U6:U16)</f>
        <v>157386.16</v>
      </c>
      <c r="W17" s="97">
        <f>SUM(W6:W16)</f>
        <v>70259.09</v>
      </c>
      <c r="Y17" s="97">
        <f>SUM(Y6:Y16)</f>
        <v>262676.71000000002</v>
      </c>
      <c r="AA17" s="97">
        <f>SUM(AA6:AA16)</f>
        <v>3172452.8050000006</v>
      </c>
    </row>
    <row r="18" spans="1:34">
      <c r="C18" s="98"/>
      <c r="I18" s="129"/>
      <c r="M18" s="25"/>
    </row>
    <row r="19" spans="1:34">
      <c r="A19" s="74" t="s">
        <v>151</v>
      </c>
      <c r="B19" s="74"/>
      <c r="C19" s="91">
        <f>+'W-Usage Summary'!C7*'W-Rate Summary'!C18</f>
        <v>185100.96</v>
      </c>
      <c r="D19" s="74"/>
      <c r="E19" s="91">
        <f>'W-Usage Summary'!F15*'W-Rate Summary'!E18</f>
        <v>117909.12</v>
      </c>
      <c r="F19" s="74"/>
      <c r="G19" s="91">
        <f>'W-Usage Summary'!I15*'W-Rate Summary'!G18</f>
        <v>14068.06</v>
      </c>
      <c r="H19" s="74"/>
      <c r="I19" s="91">
        <f>+'W-Usage Summary'!L7*'W-Rate Summary'!I18</f>
        <v>1165632.3199999998</v>
      </c>
      <c r="J19" s="74"/>
      <c r="K19" s="91">
        <f>+'W-Usage Summary'!O7*'W-Rate Summary'!K18</f>
        <v>74769.48</v>
      </c>
      <c r="L19" s="74"/>
      <c r="M19" s="91">
        <f>'W-Usage Summary'!R7*'W-Rate Summary'!M18</f>
        <v>544274</v>
      </c>
      <c r="N19" s="74"/>
      <c r="O19" s="91">
        <f>'W-Usage Summary'!U15*'W-Rate Summary'!O18</f>
        <v>92503.040000000008</v>
      </c>
      <c r="P19" s="74"/>
      <c r="Q19" s="91">
        <f>+'W-Usage Summary'!X7*'W-Rate Summary'!Q18</f>
        <v>53287.46</v>
      </c>
      <c r="R19" s="74"/>
      <c r="S19" s="91">
        <f>'W-Usage Summary'!AA15*'W-Rate Summary'!S18</f>
        <v>300807.3</v>
      </c>
      <c r="T19" s="74"/>
      <c r="U19" s="91">
        <f>'W-Usage Summary'!AD15*'W-Rate Summary'!U18</f>
        <v>136384.6</v>
      </c>
      <c r="V19" s="74"/>
      <c r="W19" s="91">
        <f>+'W-Usage Summary'!AG15*'W-Rate Summary'!W18</f>
        <v>73089.81</v>
      </c>
      <c r="X19" s="74"/>
      <c r="Y19" s="91">
        <f>'W-Usage Summary'!AJ7*'W-Rate Summary'!Y18</f>
        <v>509527</v>
      </c>
      <c r="AA19" s="91">
        <f t="shared" ref="AA19:AA22" si="1">SUM(C19:Y19)</f>
        <v>3267353.1499999994</v>
      </c>
      <c r="AC19" s="88"/>
      <c r="AD19" s="88"/>
      <c r="AE19" s="88"/>
      <c r="AF19" s="88"/>
      <c r="AG19" s="88"/>
      <c r="AH19" s="88"/>
    </row>
    <row r="20" spans="1:34">
      <c r="A20" s="74" t="s">
        <v>152</v>
      </c>
      <c r="B20" s="74"/>
      <c r="C20" s="91"/>
      <c r="D20" s="74"/>
      <c r="E20" s="91"/>
      <c r="F20" s="74"/>
      <c r="G20" s="91"/>
      <c r="H20" s="74"/>
      <c r="I20" s="91"/>
      <c r="J20" s="74"/>
      <c r="K20" s="91">
        <f>'W-Usage Summary'!O9*'W-Rate Summary'!K19</f>
        <v>53529.3</v>
      </c>
      <c r="L20" s="74"/>
      <c r="M20" s="91"/>
      <c r="N20" s="74"/>
      <c r="O20" s="91"/>
      <c r="P20" s="74"/>
      <c r="Q20" s="91">
        <f>+'W-Usage Summary'!X9*'W-Rate Summary'!Q19</f>
        <v>6648.06</v>
      </c>
      <c r="R20" s="74"/>
      <c r="S20" s="91"/>
      <c r="T20" s="74"/>
      <c r="U20" s="91"/>
      <c r="V20" s="74"/>
      <c r="W20" s="91"/>
      <c r="X20" s="74"/>
      <c r="Y20" s="91">
        <f>'W-Usage Summary'!AJ9*'W-Rate Summary'!Y19</f>
        <v>125156.04</v>
      </c>
      <c r="AA20" s="91">
        <f t="shared" si="1"/>
        <v>185333.4</v>
      </c>
      <c r="AC20" s="88"/>
      <c r="AD20" s="88"/>
      <c r="AE20" s="88"/>
      <c r="AF20" s="88"/>
      <c r="AG20" s="88"/>
      <c r="AH20" s="88"/>
    </row>
    <row r="21" spans="1:34">
      <c r="A21" s="74" t="s">
        <v>153</v>
      </c>
      <c r="B21" s="74"/>
      <c r="C21" s="91">
        <f>+'W-Usage Summary'!C9*'W-Rate Summary'!C19</f>
        <v>13009.92</v>
      </c>
      <c r="E21" s="91"/>
      <c r="G21" s="91"/>
      <c r="H21" s="74"/>
      <c r="I21" s="91">
        <f>+'W-Usage Summary'!L9*'W-Rate Summary'!I19</f>
        <v>747050.85</v>
      </c>
      <c r="J21" s="74"/>
      <c r="K21" s="91">
        <f>'W-Usage Summary'!O11*'W-Rate Summary'!K20</f>
        <v>70336.350000000006</v>
      </c>
      <c r="L21" s="74"/>
      <c r="M21" s="91">
        <f>'W-Usage Summary'!R9*'W-Rate Summary'!M19</f>
        <v>696651.66999999993</v>
      </c>
      <c r="O21" s="91"/>
      <c r="P21" s="74"/>
      <c r="Q21" s="91">
        <f>+'W-Usage Summary'!X11*'W-Rate Summary'!Q20</f>
        <v>12669.9</v>
      </c>
      <c r="S21" s="91"/>
      <c r="U21" s="91"/>
      <c r="W21" s="91"/>
      <c r="X21" s="74"/>
      <c r="Y21" s="91">
        <f>'W-Usage Summary'!AJ11*'W-Rate Summary'!Y20</f>
        <v>73975.62000000001</v>
      </c>
      <c r="AA21" s="91">
        <f t="shared" si="1"/>
        <v>1613694.31</v>
      </c>
      <c r="AC21" s="88"/>
      <c r="AD21" s="88"/>
      <c r="AE21" s="88"/>
      <c r="AF21" s="88"/>
      <c r="AG21" s="88"/>
      <c r="AH21" s="88"/>
    </row>
    <row r="22" spans="1:34">
      <c r="A22" s="74" t="s">
        <v>154</v>
      </c>
      <c r="B22" s="77"/>
      <c r="C22" s="91">
        <f>+'W-Usage Summary'!C11*'W-Rate Summary'!C20</f>
        <v>6630.8</v>
      </c>
      <c r="E22" s="91"/>
      <c r="G22" s="91"/>
      <c r="H22" s="77"/>
      <c r="I22" s="91">
        <f>'W-Usage Summary'!L11*'W-Rate Summary'!I20</f>
        <v>1943650.8</v>
      </c>
      <c r="J22" s="74"/>
      <c r="K22" s="91">
        <f>+'W-Usage Summary'!O13*'W-Rate Summary'!K21</f>
        <v>53913.57</v>
      </c>
      <c r="L22" s="77"/>
      <c r="M22" s="91">
        <f>'W-Usage Summary'!R11*'W-Rate Summary'!M20</f>
        <v>1709106.54</v>
      </c>
      <c r="O22" s="91"/>
      <c r="P22" s="74"/>
      <c r="Q22" s="91">
        <f>+'W-Usage Summary'!X13*'W-Rate Summary'!Q21</f>
        <v>8007</v>
      </c>
      <c r="S22" s="91"/>
      <c r="U22" s="91"/>
      <c r="W22" s="91"/>
      <c r="X22" s="77"/>
      <c r="Y22" s="91"/>
      <c r="AA22" s="91">
        <f t="shared" si="1"/>
        <v>3721308.71</v>
      </c>
      <c r="AC22" s="88"/>
      <c r="AD22" s="88"/>
      <c r="AE22" s="88"/>
      <c r="AF22" s="88"/>
      <c r="AG22" s="88"/>
      <c r="AH22" s="88"/>
    </row>
    <row r="23" spans="1:34">
      <c r="B23" s="74"/>
      <c r="C23" s="97">
        <f>SUM(C19:C22)</f>
        <v>204741.68</v>
      </c>
      <c r="E23" s="97">
        <f>SUM(E19:E22)</f>
        <v>117909.12</v>
      </c>
      <c r="G23" s="97">
        <f>SUM(G19:G22)</f>
        <v>14068.06</v>
      </c>
      <c r="I23" s="97">
        <f>SUM(I19:I22)</f>
        <v>3856333.9699999997</v>
      </c>
      <c r="J23" s="77"/>
      <c r="K23" s="97">
        <f>SUM(K19:K22)</f>
        <v>252548.7</v>
      </c>
      <c r="M23" s="97">
        <f>SUM(M19:M22)</f>
        <v>2950032.21</v>
      </c>
      <c r="O23" s="97">
        <f>SUM(O19:O22)</f>
        <v>92503.040000000008</v>
      </c>
      <c r="P23" s="77"/>
      <c r="Q23" s="97">
        <f>SUM(Q19:Q22)</f>
        <v>80612.42</v>
      </c>
      <c r="S23" s="97">
        <f>SUM(S19:S22)</f>
        <v>300807.3</v>
      </c>
      <c r="U23" s="97">
        <f>SUM(U19:U22)</f>
        <v>136384.6</v>
      </c>
      <c r="W23" s="97">
        <f>SUM(W19:W22)</f>
        <v>73089.81</v>
      </c>
      <c r="Y23" s="97">
        <f>SUM(Y19:Y22)</f>
        <v>708658.66</v>
      </c>
      <c r="AA23" s="97">
        <f>SUM(AA19:AA22)</f>
        <v>8787689.5700000003</v>
      </c>
      <c r="AF23" s="88"/>
    </row>
    <row r="24" spans="1:34">
      <c r="A24" s="72" t="s">
        <v>84</v>
      </c>
      <c r="B24" s="74"/>
    </row>
    <row r="25" spans="1:34">
      <c r="A25" s="74" t="s">
        <v>85</v>
      </c>
      <c r="B25" s="74"/>
    </row>
    <row r="26" spans="1:34">
      <c r="A26" s="74" t="s">
        <v>81</v>
      </c>
      <c r="B26" s="74"/>
      <c r="C26" s="91">
        <f>+'W-Bills Summary'!C24*'W-Rate Summary'!C24</f>
        <v>675.84</v>
      </c>
      <c r="E26" s="91">
        <f>+'W-Bills Summary'!E24*'W-Rate Summary'!E24</f>
        <v>165.12</v>
      </c>
      <c r="G26" s="91">
        <f>+'W-Bills Summary'!G24*'W-Rate Summary'!G24</f>
        <v>1833.1</v>
      </c>
      <c r="I26" s="91">
        <f>+'W-Bills Summary'!I24*'W-Rate Summary'!I24</f>
        <v>9398.58</v>
      </c>
      <c r="K26" s="91">
        <f>+'W-Bills Summary'!K24*'W-Rate Summary'!K24</f>
        <v>2137.7999999999997</v>
      </c>
      <c r="M26" s="91">
        <f>+'W-Bills Summary'!M24*'W-Rate Summary'!M24</f>
        <v>9267.36</v>
      </c>
      <c r="O26" s="91">
        <f>+'W-Bills Summary'!O24*'W-Rate Summary'!O24</f>
        <v>843.6</v>
      </c>
      <c r="Q26" s="91">
        <f>+'W-Bills Summary'!Q24*'W-Rate Summary'!Q24</f>
        <v>196.65</v>
      </c>
      <c r="S26" s="91">
        <f>+'W-Bills Summary'!S24*'W-Rate Summary'!S24</f>
        <v>4133.5</v>
      </c>
      <c r="U26" s="91">
        <f>+'W-Bills Summary'!U24*'W-Rate Summary'!U24</f>
        <v>402.84</v>
      </c>
      <c r="W26" s="91">
        <f>+'W-Bills Summary'!W24*'W-Rate Summary'!W24</f>
        <v>272.88</v>
      </c>
      <c r="Y26" s="91">
        <f>+'W-Bills Summary'!Y24*'W-Rate Summary'!Y24</f>
        <v>698.88</v>
      </c>
      <c r="AA26" s="91">
        <f>SUM(C26:Y26)</f>
        <v>30026.15</v>
      </c>
    </row>
    <row r="27" spans="1:34">
      <c r="A27" s="74" t="s">
        <v>26</v>
      </c>
      <c r="B27" s="74"/>
      <c r="C27" s="91">
        <f>+'W-Bills Summary'!C25*'W-Rate Summary'!C25</f>
        <v>0</v>
      </c>
      <c r="E27" s="91">
        <f>+'W-Bills Summary'!E25*'W-Rate Summary'!E25</f>
        <v>0</v>
      </c>
      <c r="G27" s="91">
        <f>+'W-Bills Summary'!G25*'W-Rate Summary'!G25</f>
        <v>0</v>
      </c>
      <c r="I27" s="91">
        <f>+'W-Bills Summary'!I25*'W-Rate Summary'!I25</f>
        <v>0</v>
      </c>
      <c r="K27" s="91">
        <f>+'W-Bills Summary'!K25*'W-Rate Summary'!K25</f>
        <v>0</v>
      </c>
      <c r="M27" s="91">
        <f>+'W-Bills Summary'!M25*'W-Rate Summary'!M25</f>
        <v>0</v>
      </c>
      <c r="O27" s="91">
        <f>+'W-Bills Summary'!O25*'W-Rate Summary'!O25</f>
        <v>0</v>
      </c>
      <c r="Q27" s="91">
        <f>+'W-Bills Summary'!Q25*'W-Rate Summary'!Q25</f>
        <v>0</v>
      </c>
      <c r="S27" s="91">
        <f>+'W-Bills Summary'!S25*'W-Rate Summary'!S25</f>
        <v>0</v>
      </c>
      <c r="U27" s="91">
        <f>+'W-Bills Summary'!U25*'W-Rate Summary'!U25</f>
        <v>0</v>
      </c>
      <c r="W27" s="91">
        <f>+'W-Bills Summary'!W25*'W-Rate Summary'!W25</f>
        <v>0</v>
      </c>
      <c r="Y27" s="91">
        <f>+'W-Bills Summary'!Y25*'W-Rate Summary'!Y25</f>
        <v>0</v>
      </c>
      <c r="AA27" s="91">
        <f t="shared" ref="AA27:AA35" si="2">SUM(C27:Y27)</f>
        <v>0</v>
      </c>
    </row>
    <row r="28" spans="1:34">
      <c r="A28" s="74" t="s">
        <v>82</v>
      </c>
      <c r="B28" s="74"/>
      <c r="C28" s="91">
        <f>+'W-Bills Summary'!C26*'W-Rate Summary'!C26</f>
        <v>896.57999999999993</v>
      </c>
      <c r="E28" s="91">
        <f>+'W-Bills Summary'!E26*'W-Rate Summary'!E26</f>
        <v>1239.1200000000001</v>
      </c>
      <c r="G28" s="91">
        <f>+'W-Bills Summary'!G26*'W-Rate Summary'!G26</f>
        <v>1394.4</v>
      </c>
      <c r="I28" s="91">
        <f>+'W-Bills Summary'!I26*'W-Rate Summary'!I26</f>
        <v>14892.4</v>
      </c>
      <c r="K28" s="91">
        <f>+'W-Bills Summary'!K26*'W-Rate Summary'!K26</f>
        <v>0</v>
      </c>
      <c r="M28" s="91">
        <f>+'W-Bills Summary'!M26*'W-Rate Summary'!M26</f>
        <v>29583.68</v>
      </c>
      <c r="O28" s="91">
        <f>+'W-Bills Summary'!O26*'W-Rate Summary'!O26</f>
        <v>722.28</v>
      </c>
      <c r="Q28" s="91">
        <f>+'W-Bills Summary'!Q26*'W-Rate Summary'!Q26</f>
        <v>256.32</v>
      </c>
      <c r="S28" s="91">
        <f>+'W-Bills Summary'!S26*'W-Rate Summary'!S26</f>
        <v>2953</v>
      </c>
      <c r="U28" s="91">
        <f>+'W-Bills Summary'!U26*'W-Rate Summary'!U26</f>
        <v>671.04</v>
      </c>
      <c r="W28" s="91">
        <f>+'W-Bills Summary'!W26*'W-Rate Summary'!W26</f>
        <v>340.92</v>
      </c>
      <c r="Y28" s="91">
        <f>+'W-Bills Summary'!Y26*'W-Rate Summary'!Y26</f>
        <v>1413.72</v>
      </c>
      <c r="AA28" s="91">
        <f t="shared" si="2"/>
        <v>54363.46</v>
      </c>
    </row>
    <row r="29" spans="1:34">
      <c r="A29" s="74" t="s">
        <v>90</v>
      </c>
      <c r="B29" s="74"/>
      <c r="C29" s="91">
        <f>+'W-Bills Summary'!C27*'W-Rate Summary'!C27</f>
        <v>1689.6000000000001</v>
      </c>
      <c r="E29" s="91">
        <f>+'W-Bills Summary'!E27*'W-Rate Summary'!E27</f>
        <v>0</v>
      </c>
      <c r="G29" s="91">
        <f>+'W-Bills Summary'!G27*'W-Rate Summary'!G27</f>
        <v>0</v>
      </c>
      <c r="I29" s="91">
        <f>+'W-Bills Summary'!I27*'W-Rate Summary'!I27</f>
        <v>18547.3</v>
      </c>
      <c r="K29" s="91">
        <f>+'W-Bills Summary'!K27*'W-Rate Summary'!K27</f>
        <v>297.84000000000003</v>
      </c>
      <c r="M29" s="91">
        <f>+'W-Bills Summary'!M27*'W-Rate Summary'!M27</f>
        <v>35255.43</v>
      </c>
      <c r="O29" s="91">
        <f>+'W-Bills Summary'!O27*'W-Rate Summary'!O27</f>
        <v>444.48</v>
      </c>
      <c r="Q29" s="91">
        <f>+'W-Bills Summary'!Q27*'W-Rate Summary'!Q27</f>
        <v>0</v>
      </c>
      <c r="S29" s="91">
        <f>+'W-Bills Summary'!S27*'W-Rate Summary'!S27</f>
        <v>2125.08</v>
      </c>
      <c r="U29" s="91">
        <f>+'W-Bills Summary'!U27*'W-Rate Summary'!U27</f>
        <v>0</v>
      </c>
      <c r="W29" s="91">
        <f>+'W-Bills Summary'!W27*'W-Rate Summary'!W27</f>
        <v>0</v>
      </c>
      <c r="Y29" s="91">
        <f>+'W-Bills Summary'!Y27*'W-Rate Summary'!Y27</f>
        <v>498.96</v>
      </c>
      <c r="AA29" s="91">
        <f t="shared" si="2"/>
        <v>58858.69</v>
      </c>
    </row>
    <row r="30" spans="1:34">
      <c r="A30" s="74" t="s">
        <v>29</v>
      </c>
      <c r="B30" s="74"/>
      <c r="C30" s="91">
        <f>+'W-Bills Summary'!C28*'W-Rate Summary'!C28</f>
        <v>2702.3999999999996</v>
      </c>
      <c r="E30" s="91">
        <f>+'W-Bills Summary'!E28*'W-Rate Summary'!E28</f>
        <v>0</v>
      </c>
      <c r="G30" s="91">
        <f>+'W-Bills Summary'!G28*'W-Rate Summary'!G28</f>
        <v>0</v>
      </c>
      <c r="I30" s="91">
        <f>+'W-Bills Summary'!I28*'W-Rate Summary'!I28</f>
        <v>15297.130000000001</v>
      </c>
      <c r="K30" s="91">
        <f>+'W-Bills Summary'!K28*'W-Rate Summary'!K28</f>
        <v>4677.5999999999995</v>
      </c>
      <c r="M30" s="91">
        <f>+'W-Bills Summary'!M28*'W-Rate Summary'!M28</f>
        <v>54895.65</v>
      </c>
      <c r="O30" s="91">
        <f>+'W-Bills Summary'!O28*'W-Rate Summary'!O28</f>
        <v>0</v>
      </c>
      <c r="Q30" s="91">
        <f>+'W-Bills Summary'!Q28*'W-Rate Summary'!Q28</f>
        <v>0</v>
      </c>
      <c r="S30" s="91">
        <f>+'W-Bills Summary'!S28*'W-Rate Summary'!S28</f>
        <v>6139.25</v>
      </c>
      <c r="U30" s="91">
        <f>+'W-Bills Summary'!U28*'W-Rate Summary'!U28</f>
        <v>1073.4000000000001</v>
      </c>
      <c r="W30" s="91">
        <f>+'W-Bills Summary'!W28*'W-Rate Summary'!W28</f>
        <v>3272.4</v>
      </c>
      <c r="Y30" s="91">
        <f>+'W-Bills Summary'!Y28*'W-Rate Summary'!Y28</f>
        <v>1596.48</v>
      </c>
      <c r="AA30" s="91">
        <f t="shared" si="2"/>
        <v>89654.309999999983</v>
      </c>
    </row>
    <row r="31" spans="1:34">
      <c r="A31" s="74" t="s">
        <v>30</v>
      </c>
      <c r="B31" s="74"/>
      <c r="C31" s="91">
        <f>+'W-Bills Summary'!C29*'W-Rate Summary'!C29</f>
        <v>0</v>
      </c>
      <c r="E31" s="91">
        <f>+'W-Bills Summary'!E29*'W-Rate Summary'!E29</f>
        <v>0</v>
      </c>
      <c r="G31" s="91">
        <f>+'W-Bills Summary'!G29*'W-Rate Summary'!G29</f>
        <v>0</v>
      </c>
      <c r="I31" s="91">
        <f>+'W-Bills Summary'!I29*'W-Rate Summary'!I29</f>
        <v>1845</v>
      </c>
      <c r="K31" s="91">
        <f>+'W-Bills Summary'!K29*'W-Rate Summary'!K29</f>
        <v>2863.08</v>
      </c>
      <c r="M31" s="91">
        <f>+'W-Bills Summary'!M29*'W-Rate Summary'!M29</f>
        <v>16105.600000000002</v>
      </c>
      <c r="O31" s="91">
        <f>+'W-Bills Summary'!O29*'W-Rate Summary'!O29</f>
        <v>0</v>
      </c>
      <c r="Q31" s="91">
        <f>+'W-Bills Summary'!Q29*'W-Rate Summary'!Q29</f>
        <v>0</v>
      </c>
      <c r="S31" s="91">
        <f>+'W-Bills Summary'!S29*'W-Rate Summary'!S29</f>
        <v>0</v>
      </c>
      <c r="U31" s="91">
        <f>+'W-Bills Summary'!U29*'W-Rate Summary'!U29</f>
        <v>0</v>
      </c>
      <c r="W31" s="91">
        <f>+'W-Bills Summary'!W29*'W-Rate Summary'!W29</f>
        <v>0</v>
      </c>
      <c r="Y31" s="91">
        <f>+'W-Bills Summary'!Y29*'W-Rate Summary'!Y29</f>
        <v>1596.72</v>
      </c>
      <c r="AA31" s="91">
        <f t="shared" si="2"/>
        <v>22410.400000000001</v>
      </c>
    </row>
    <row r="32" spans="1:34">
      <c r="A32" s="74" t="s">
        <v>31</v>
      </c>
      <c r="B32" s="74"/>
      <c r="C32" s="91">
        <f>+'W-Bills Summary'!C30*'W-Rate Summary'!C30</f>
        <v>0</v>
      </c>
      <c r="E32" s="91">
        <f>+'W-Bills Summary'!E30*'W-Rate Summary'!E30</f>
        <v>0</v>
      </c>
      <c r="G32" s="91">
        <f>+'W-Bills Summary'!G30*'W-Rate Summary'!G30</f>
        <v>14342.4</v>
      </c>
      <c r="I32" s="91">
        <f>+'W-Bills Summary'!I30*'W-Rate Summary'!I30</f>
        <v>8649</v>
      </c>
      <c r="K32" s="91">
        <f>+'W-Bills Summary'!K30*'W-Rate Summary'!K30</f>
        <v>1462.08</v>
      </c>
      <c r="M32" s="91">
        <f>+'W-Bills Summary'!M30*'W-Rate Summary'!M30</f>
        <v>8089.2</v>
      </c>
      <c r="O32" s="91">
        <f>+'W-Bills Summary'!O30*'W-Rate Summary'!O30</f>
        <v>1203.4099999999999</v>
      </c>
      <c r="Q32" s="91">
        <f>+'W-Bills Summary'!Q30*'W-Rate Summary'!Q30</f>
        <v>0</v>
      </c>
      <c r="S32" s="91">
        <f>+'W-Bills Summary'!S30*'W-Rate Summary'!S30</f>
        <v>0</v>
      </c>
      <c r="U32" s="91">
        <f>+'W-Bills Summary'!U30*'W-Rate Summary'!U30</f>
        <v>0</v>
      </c>
      <c r="W32" s="91">
        <f>+'W-Bills Summary'!W30*'W-Rate Summary'!W30</f>
        <v>0</v>
      </c>
      <c r="Y32" s="91">
        <f>+'W-Bills Summary'!Y30*'W-Rate Summary'!Y30</f>
        <v>0</v>
      </c>
      <c r="AA32" s="91">
        <f t="shared" si="2"/>
        <v>33746.090000000004</v>
      </c>
    </row>
    <row r="33" spans="1:27">
      <c r="A33" s="74" t="s">
        <v>32</v>
      </c>
      <c r="B33" s="74"/>
      <c r="C33" s="91">
        <f>+'W-Bills Summary'!C31*'W-Rate Summary'!C31</f>
        <v>0</v>
      </c>
      <c r="E33" s="91">
        <f>+'W-Bills Summary'!E31*'W-Rate Summary'!E31</f>
        <v>8261.76</v>
      </c>
      <c r="G33" s="91">
        <f>+'W-Bills Summary'!G31*'W-Rate Summary'!G31</f>
        <v>0</v>
      </c>
      <c r="I33" s="91">
        <f>+'W-Bills Summary'!I31*'W-Rate Summary'!I31</f>
        <v>0</v>
      </c>
      <c r="K33" s="91">
        <f>+'W-Bills Summary'!K31*'W-Rate Summary'!K31</f>
        <v>0</v>
      </c>
      <c r="M33" s="91">
        <f>+'W-Bills Summary'!M31*'W-Rate Summary'!M31</f>
        <v>7864.5</v>
      </c>
      <c r="O33" s="91">
        <f>+'W-Bills Summary'!O31*'W-Rate Summary'!O31</f>
        <v>0</v>
      </c>
      <c r="Q33" s="91">
        <f>+'W-Bills Summary'!Q31*'W-Rate Summary'!Q31</f>
        <v>0</v>
      </c>
      <c r="S33" s="91">
        <f>+'W-Bills Summary'!S31*'W-Rate Summary'!S31</f>
        <v>0</v>
      </c>
      <c r="U33" s="91">
        <f>+'W-Bills Summary'!U31*'W-Rate Summary'!U31</f>
        <v>0</v>
      </c>
      <c r="W33" s="91">
        <f>+'W-Bills Summary'!W31*'W-Rate Summary'!W31</f>
        <v>0</v>
      </c>
      <c r="Y33" s="91">
        <f>+'W-Bills Summary'!Y31*'W-Rate Summary'!Y31</f>
        <v>0</v>
      </c>
      <c r="AA33" s="91">
        <f t="shared" si="2"/>
        <v>16126.26</v>
      </c>
    </row>
    <row r="34" spans="1:27">
      <c r="A34" s="74" t="s">
        <v>48</v>
      </c>
      <c r="B34" s="74"/>
      <c r="C34" s="91">
        <f>+'W-Bills Summary'!C32*'W-Rate Summary'!C32</f>
        <v>0</v>
      </c>
      <c r="E34" s="91">
        <f>+'W-Bills Summary'!E32*'W-Rate Summary'!E32</f>
        <v>0</v>
      </c>
      <c r="G34" s="91">
        <f>+'W-Bills Summary'!G32*'W-Rate Summary'!G32</f>
        <v>0</v>
      </c>
      <c r="I34" s="91">
        <f>+'W-Bills Summary'!I32*'W-Rate Summary'!I32</f>
        <v>24215.24</v>
      </c>
      <c r="K34" s="91">
        <f>+'W-Bills Summary'!K32*'W-Rate Summary'!K32</f>
        <v>0</v>
      </c>
      <c r="M34" s="91">
        <f>+'W-Bills Summary'!M32*'W-Rate Summary'!M32</f>
        <v>17256.96</v>
      </c>
      <c r="O34" s="91">
        <f>+'W-Bills Summary'!O32*'W-Rate Summary'!O32</f>
        <v>0</v>
      </c>
      <c r="Q34" s="91">
        <f>+'W-Bills Summary'!Q32*'W-Rate Summary'!Q32</f>
        <v>0</v>
      </c>
      <c r="S34" s="91">
        <f>+'W-Bills Summary'!S32*'W-Rate Summary'!S32</f>
        <v>0</v>
      </c>
      <c r="U34" s="91">
        <f>+'W-Bills Summary'!U32*'W-Rate Summary'!U32</f>
        <v>0</v>
      </c>
      <c r="W34" s="91">
        <f>+'W-Bills Summary'!W32*'W-Rate Summary'!W32</f>
        <v>0</v>
      </c>
      <c r="Y34" s="91">
        <f>+'W-Bills Summary'!Y32*'W-Rate Summary'!Y32</f>
        <v>0</v>
      </c>
      <c r="AA34" s="91">
        <f t="shared" si="2"/>
        <v>41472.199999999997</v>
      </c>
    </row>
    <row r="35" spans="1:27">
      <c r="A35" s="74" t="s">
        <v>54</v>
      </c>
      <c r="B35" s="74"/>
      <c r="C35" s="91">
        <f>+'W-Bills Summary'!C33*'W-Rate Summary'!C33</f>
        <v>0</v>
      </c>
      <c r="E35" s="91">
        <f>+'W-Bills Summary'!E33*'W-Rate Summary'!E33</f>
        <v>0</v>
      </c>
      <c r="G35" s="91">
        <f>+'W-Bills Summary'!G33*'W-Rate Summary'!G33</f>
        <v>0</v>
      </c>
      <c r="I35" s="91">
        <f>+'W-Bills Summary'!I33*'W-Rate Summary'!I33</f>
        <v>16720.32</v>
      </c>
      <c r="K35" s="91">
        <f>+'W-Bills Summary'!K33*'W-Rate Summary'!K33</f>
        <v>0</v>
      </c>
      <c r="M35" s="91">
        <f>+'W-Bills Summary'!M33*'W-Rate Summary'!M33</f>
        <v>0</v>
      </c>
      <c r="O35" s="91">
        <f>+'W-Bills Summary'!O33*'W-Rate Summary'!O33</f>
        <v>0</v>
      </c>
      <c r="Q35" s="91">
        <f>+'W-Bills Summary'!Q33*'W-Rate Summary'!Q33</f>
        <v>0</v>
      </c>
      <c r="S35" s="91">
        <f>+'W-Bills Summary'!S33*'W-Rate Summary'!S33</f>
        <v>0</v>
      </c>
      <c r="U35" s="91">
        <f>+'W-Bills Summary'!U33*'W-Rate Summary'!U33</f>
        <v>0</v>
      </c>
      <c r="W35" s="91">
        <f>+'W-Bills Summary'!W33*'W-Rate Summary'!W33</f>
        <v>0</v>
      </c>
      <c r="Y35" s="91">
        <f>+'W-Bills Summary'!Y33*'W-Rate Summary'!Y33</f>
        <v>0</v>
      </c>
      <c r="AA35" s="91">
        <f t="shared" si="2"/>
        <v>16720.32</v>
      </c>
    </row>
    <row r="36" spans="1:27">
      <c r="A36" s="74"/>
      <c r="B36" s="74"/>
      <c r="C36" s="97">
        <f>SUM(C25:C35)</f>
        <v>5964.42</v>
      </c>
      <c r="E36" s="97">
        <f>SUM(E25:E35)</f>
        <v>9666</v>
      </c>
      <c r="G36" s="97">
        <f>SUM(G25:G35)</f>
        <v>17569.900000000001</v>
      </c>
      <c r="I36" s="97">
        <f>SUM(I25:I35)</f>
        <v>109564.97</v>
      </c>
      <c r="K36" s="97">
        <f>SUM(K25:K35)</f>
        <v>11438.4</v>
      </c>
      <c r="M36" s="97">
        <f>SUM(M25:M35)</f>
        <v>178318.38</v>
      </c>
      <c r="O36" s="97">
        <f>SUM(O25:O35)</f>
        <v>3213.77</v>
      </c>
      <c r="Q36" s="97">
        <f>SUM(Q25:Q35)</f>
        <v>452.97</v>
      </c>
      <c r="S36" s="97">
        <f>SUM(S25:S35)</f>
        <v>15350.83</v>
      </c>
      <c r="U36" s="97">
        <f>SUM(U25:U35)</f>
        <v>2147.2799999999997</v>
      </c>
      <c r="W36" s="97">
        <f>SUM(W25:W35)</f>
        <v>3886.2</v>
      </c>
      <c r="Y36" s="97">
        <f>SUM(Y25:Y35)</f>
        <v>5804.76</v>
      </c>
      <c r="AA36" s="97">
        <f>SUM(AA25:AA35)</f>
        <v>363377.88</v>
      </c>
    </row>
    <row r="37" spans="1:27">
      <c r="B37" s="74"/>
      <c r="C37" s="76"/>
      <c r="D37" s="74"/>
      <c r="E37" s="76"/>
      <c r="F37" s="74"/>
      <c r="G37" s="76"/>
      <c r="H37" s="74"/>
      <c r="I37" s="47"/>
      <c r="J37" s="74"/>
      <c r="K37" s="76"/>
      <c r="L37" s="74"/>
      <c r="M37" s="47"/>
      <c r="N37" s="74"/>
      <c r="O37" s="47"/>
      <c r="P37" s="74"/>
      <c r="Q37" s="47"/>
      <c r="R37" s="74"/>
      <c r="S37" s="47"/>
      <c r="T37" s="74"/>
      <c r="U37" s="47"/>
      <c r="V37" s="74"/>
      <c r="W37" s="47"/>
      <c r="X37" s="74"/>
      <c r="Y37" s="47"/>
    </row>
    <row r="38" spans="1:27">
      <c r="A38" s="74" t="s">
        <v>141</v>
      </c>
      <c r="B38" s="74"/>
      <c r="C38" s="91">
        <f>'W-Usage Summary'!C18*'W-Rate Summary'!C35</f>
        <v>19927.78</v>
      </c>
      <c r="E38" s="91">
        <f>'W-Usage Summary'!F18*'W-Rate Summary'!E35</f>
        <v>31491.039999999997</v>
      </c>
      <c r="G38" s="91">
        <f>'W-Usage Summary'!I18*'W-Rate Summary'!G35</f>
        <v>17161.95</v>
      </c>
      <c r="I38" s="91">
        <f>'W-Usage Summary'!L18*'W-Rate Summary'!I35</f>
        <v>253644.57</v>
      </c>
      <c r="K38" s="91">
        <f>'W-Usage Summary'!O18*'W-Rate Summary'!K35</f>
        <v>35604</v>
      </c>
      <c r="M38" s="91">
        <f>'W-Usage Summary'!R18*'W-Rate Summary'!M35</f>
        <v>714406.17999999993</v>
      </c>
      <c r="O38" s="91">
        <f>+'W-Usage Summary'!U18*'W-Rate Summary'!O35</f>
        <v>15400.000000000002</v>
      </c>
      <c r="Q38" s="91">
        <f>'W-Usage Summary'!X18*'W-Rate Summary'!Q35</f>
        <v>1206.8800000000001</v>
      </c>
      <c r="S38" s="91">
        <f>'W-Usage Summary'!AA18*'W-Rate Summary'!S35</f>
        <v>31751.7</v>
      </c>
      <c r="U38" s="91">
        <f>'W-Usage Summary'!AD18*'W-Rate Summary'!U35</f>
        <v>5066.6000000000004</v>
      </c>
      <c r="W38" s="91">
        <f>'W-Usage Summary'!AG18*'W-Rate Summary'!W35</f>
        <v>9642.84</v>
      </c>
      <c r="Y38" s="91">
        <f>'W-Usage Summary'!AJ18*'W-Rate Summary'!Y35</f>
        <v>21422.239999999998</v>
      </c>
      <c r="AA38" s="91">
        <f>SUM(C38:Y38)</f>
        <v>1156725.78</v>
      </c>
    </row>
    <row r="39" spans="1:27">
      <c r="A39" s="74"/>
      <c r="B39" s="74"/>
    </row>
    <row r="40" spans="1:27">
      <c r="A40" s="78" t="s">
        <v>93</v>
      </c>
      <c r="B40" s="74"/>
    </row>
    <row r="41" spans="1:27">
      <c r="A41" s="74" t="s">
        <v>140</v>
      </c>
      <c r="B41" s="74"/>
      <c r="E41" s="91">
        <f>'W-Bills Summary'!E38*'W-Rate Summary'!E38</f>
        <v>0</v>
      </c>
    </row>
    <row r="42" spans="1:27">
      <c r="A42" s="74" t="s">
        <v>141</v>
      </c>
      <c r="B42" s="74"/>
      <c r="E42" s="91">
        <v>0</v>
      </c>
    </row>
    <row r="43" spans="1:27">
      <c r="A43" s="74"/>
      <c r="B43" s="74"/>
    </row>
    <row r="44" spans="1:27">
      <c r="A44" s="72" t="s">
        <v>100</v>
      </c>
      <c r="B44" s="74"/>
      <c r="I44" s="73"/>
    </row>
    <row r="45" spans="1:27">
      <c r="A45" s="74" t="s">
        <v>90</v>
      </c>
      <c r="B45" s="74"/>
      <c r="I45" s="73"/>
      <c r="M45" s="91">
        <f>+'W-Bills Summary'!M43*'W-Rate Summary'!M42</f>
        <v>44.88</v>
      </c>
      <c r="N45" s="82"/>
      <c r="AA45" s="91">
        <f t="shared" ref="AA45:AA57" si="3">SUM(C45:Y45)</f>
        <v>44.88</v>
      </c>
    </row>
    <row r="46" spans="1:27">
      <c r="A46" s="74" t="s">
        <v>29</v>
      </c>
      <c r="B46" s="74"/>
      <c r="I46" s="73"/>
      <c r="M46" s="91">
        <f>+'W-Bills Summary'!M44*'W-Rate Summary'!M43</f>
        <v>468</v>
      </c>
      <c r="N46" s="82"/>
      <c r="AA46" s="91">
        <f t="shared" si="3"/>
        <v>468</v>
      </c>
    </row>
    <row r="47" spans="1:27">
      <c r="A47" s="74" t="s">
        <v>31</v>
      </c>
      <c r="B47" s="74"/>
      <c r="I47" s="91">
        <f>+'W-Bills Summary'!I45*'W-Rate Summary'!I44</f>
        <v>0</v>
      </c>
      <c r="J47" s="81"/>
      <c r="M47" s="91">
        <f>+'W-Bills Summary'!M45*'W-Rate Summary'!M44</f>
        <v>2583.3599999999997</v>
      </c>
      <c r="N47" s="82"/>
      <c r="AA47" s="91">
        <f t="shared" si="3"/>
        <v>2583.3599999999997</v>
      </c>
    </row>
    <row r="48" spans="1:27">
      <c r="A48" s="74" t="s">
        <v>32</v>
      </c>
      <c r="B48" s="74"/>
      <c r="I48" s="91">
        <f>+'W-Bills Summary'!I46*'W-Rate Summary'!I45</f>
        <v>0</v>
      </c>
      <c r="J48" s="81"/>
      <c r="M48" s="91">
        <f>+'W-Bills Summary'!M46*'W-Rate Summary'!M45</f>
        <v>6739.2</v>
      </c>
      <c r="N48" s="82"/>
      <c r="AA48" s="91">
        <f t="shared" si="3"/>
        <v>6739.2</v>
      </c>
    </row>
    <row r="49" spans="1:33">
      <c r="A49" s="74" t="s">
        <v>48</v>
      </c>
      <c r="I49" s="91">
        <f>+'W-Bills Summary'!I47*'W-Rate Summary'!I46</f>
        <v>0</v>
      </c>
      <c r="J49" s="81"/>
      <c r="M49" s="91">
        <f>+'W-Bills Summary'!M47*'W-Rate Summary'!M46</f>
        <v>1797.6000000000001</v>
      </c>
      <c r="N49" s="82"/>
      <c r="AA49" s="91">
        <f t="shared" si="3"/>
        <v>1797.6000000000001</v>
      </c>
    </row>
    <row r="50" spans="1:33">
      <c r="A50" s="74" t="s">
        <v>54</v>
      </c>
      <c r="I50" s="91">
        <f>+'W-Bills Summary'!I48*'W-Rate Summary'!I47</f>
        <v>0</v>
      </c>
      <c r="J50" s="81"/>
      <c r="M50" s="47"/>
      <c r="AA50" s="91">
        <f t="shared" si="3"/>
        <v>0</v>
      </c>
    </row>
    <row r="51" spans="1:33">
      <c r="A51" s="74" t="s">
        <v>59</v>
      </c>
      <c r="I51" s="91">
        <f>+'W-Bills Summary'!I49*'W-Rate Summary'!I48</f>
        <v>0</v>
      </c>
      <c r="J51" s="81"/>
      <c r="M51" s="47"/>
      <c r="AA51" s="91">
        <f t="shared" si="3"/>
        <v>0</v>
      </c>
    </row>
    <row r="52" spans="1:33">
      <c r="C52" s="97">
        <f>SUM(C45:C51)</f>
        <v>0</v>
      </c>
      <c r="E52" s="97">
        <f>SUM(E45:E51)</f>
        <v>0</v>
      </c>
      <c r="G52" s="97">
        <f>SUM(G45:G51)</f>
        <v>0</v>
      </c>
      <c r="I52" s="97">
        <f>SUM(I45:I51)</f>
        <v>0</v>
      </c>
      <c r="K52" s="97">
        <f>SUM(K45:K51)</f>
        <v>0</v>
      </c>
      <c r="M52" s="97">
        <f>SUM(M45:M51)</f>
        <v>11633.039999999999</v>
      </c>
      <c r="O52" s="97">
        <f>SUM(O45:O51)</f>
        <v>0</v>
      </c>
      <c r="Q52" s="97">
        <f>SUM(Q45:Q51)</f>
        <v>0</v>
      </c>
      <c r="S52" s="97">
        <f>SUM(S45:S51)</f>
        <v>0</v>
      </c>
      <c r="U52" s="97">
        <f>SUM(U45:U51)</f>
        <v>0</v>
      </c>
      <c r="W52" s="97">
        <f>SUM(W45:W51)</f>
        <v>0</v>
      </c>
      <c r="Y52" s="97">
        <f>SUM(Y45:Y51)</f>
        <v>0</v>
      </c>
      <c r="AA52" s="97">
        <f>SUM(AA45:AA51)</f>
        <v>11633.039999999999</v>
      </c>
    </row>
    <row r="53" spans="1:33">
      <c r="C53" s="98"/>
      <c r="E53" s="98"/>
      <c r="G53" s="98"/>
      <c r="I53" s="98"/>
      <c r="K53" s="98"/>
      <c r="M53" s="98"/>
      <c r="O53" s="98"/>
      <c r="Q53" s="98"/>
      <c r="S53" s="98"/>
      <c r="U53" s="98"/>
      <c r="W53" s="98"/>
      <c r="Y53" s="98"/>
      <c r="AA53" s="98"/>
    </row>
    <row r="54" spans="1:33">
      <c r="A54" s="78" t="s">
        <v>316</v>
      </c>
      <c r="AE54" s="100" t="s">
        <v>155</v>
      </c>
      <c r="AF54" s="100"/>
      <c r="AG54" s="101" t="s">
        <v>156</v>
      </c>
    </row>
    <row r="55" spans="1:33">
      <c r="A55" s="74" t="s">
        <v>142</v>
      </c>
      <c r="C55" s="91">
        <f>SUM(C7:C16,C26:C35)+C41</f>
        <v>130980.74</v>
      </c>
      <c r="E55" s="91">
        <f>SUM(E7:E16,E26:E35)+E41</f>
        <v>154517.51999999999</v>
      </c>
      <c r="G55" s="91">
        <f>SUM(G7:G16,G26:G35)+G41</f>
        <v>37909.339999999997</v>
      </c>
      <c r="I55" s="91">
        <f>SUM(I7:I16,I26:I35)+I41</f>
        <v>1312399.1149999998</v>
      </c>
      <c r="K55" s="91">
        <f>SUM(K7:K16,K26:K35)+K41</f>
        <v>92343.950000000012</v>
      </c>
      <c r="M55" s="91">
        <f>SUM(M7:M16,M26:M35)+M41</f>
        <v>968047.83000000007</v>
      </c>
      <c r="O55" s="91">
        <f>SUM(O7:O16,O26:O35)+O41</f>
        <v>50881.270000000004</v>
      </c>
      <c r="Q55" s="91">
        <f>SUM(Q7:Q16,Q26:Q35)+Q41</f>
        <v>32498.190000000002</v>
      </c>
      <c r="S55" s="91">
        <f>SUM(S7:S16,S26:S35)+S41</f>
        <v>254125.53</v>
      </c>
      <c r="U55" s="91">
        <f>SUM(U7:U16,U26:U35)+U41</f>
        <v>159523.44</v>
      </c>
      <c r="W55" s="91">
        <f>SUM(W7:W16,W26:W35)+W41</f>
        <v>74134.289999999994</v>
      </c>
      <c r="Y55" s="91">
        <f>SUM(Y7:Y16,Y26:Y35)+Y41</f>
        <v>268469.46999999997</v>
      </c>
      <c r="AA55" s="91">
        <f t="shared" si="3"/>
        <v>3535830.6849999996</v>
      </c>
      <c r="AC55" s="99">
        <f>+AA55/AA58*0+0.35</f>
        <v>0.35</v>
      </c>
      <c r="AE55" s="91">
        <f>AE58*AC55</f>
        <v>5696853.75</v>
      </c>
      <c r="AG55" s="82">
        <f>+AE55/AA55-1</f>
        <v>0.61117832201855005</v>
      </c>
    </row>
    <row r="56" spans="1:33">
      <c r="A56" s="74" t="s">
        <v>143</v>
      </c>
      <c r="C56" s="91">
        <f>SUM(C19:C22)+C38+C42</f>
        <v>224669.46</v>
      </c>
      <c r="E56" s="91">
        <f>SUM(E19:E22)+E38+E42</f>
        <v>149400.16</v>
      </c>
      <c r="G56" s="91">
        <f>SUM(G19:G22)+G38+G42</f>
        <v>31230.010000000002</v>
      </c>
      <c r="I56" s="91">
        <f>SUM(I19:I22)+I38+I42</f>
        <v>4109978.5399999996</v>
      </c>
      <c r="K56" s="91">
        <f>SUM(K19:K22)+K38+K42</f>
        <v>288152.7</v>
      </c>
      <c r="M56" s="91">
        <f>SUM(M19:M22)+M38+M42</f>
        <v>3664438.3899999997</v>
      </c>
      <c r="O56" s="91">
        <f>SUM(O19:O22)+O38+O42</f>
        <v>107903.04000000001</v>
      </c>
      <c r="Q56" s="91">
        <f>SUM(Q19:Q22)+Q38+Q42</f>
        <v>81819.3</v>
      </c>
      <c r="S56" s="91">
        <f>SUM(S19:S22)+S38+S42</f>
        <v>332559</v>
      </c>
      <c r="U56" s="91">
        <f>SUM(U19:U22)+U38+U42</f>
        <v>141451.20000000001</v>
      </c>
      <c r="W56" s="91">
        <f>SUM(W19:W22)+W38+W42</f>
        <v>82732.649999999994</v>
      </c>
      <c r="Y56" s="91">
        <f>SUM(Y19:Y22)+Y38+Y42</f>
        <v>730080.9</v>
      </c>
      <c r="AA56" s="91">
        <f t="shared" si="3"/>
        <v>9944415.3499999996</v>
      </c>
      <c r="AC56" s="99">
        <f>+AA56/AA58*0+0.65-AC57</f>
        <v>0.6491377746616811</v>
      </c>
      <c r="AE56" s="91">
        <f>+AE58*AC56</f>
        <v>10565837.045280151</v>
      </c>
      <c r="AG56" s="82">
        <f>+AE56/AA56-1</f>
        <v>6.2489515311742405E-2</v>
      </c>
    </row>
    <row r="57" spans="1:33">
      <c r="A57" s="74" t="s">
        <v>144</v>
      </c>
      <c r="C57" s="91">
        <f>SUM(C45:C51)</f>
        <v>0</v>
      </c>
      <c r="E57" s="91">
        <f>SUM(E45:E51)</f>
        <v>0</v>
      </c>
      <c r="G57" s="91">
        <f>SUM(G45:G51)</f>
        <v>0</v>
      </c>
      <c r="I57" s="91">
        <f>SUM(I45:I51)</f>
        <v>0</v>
      </c>
      <c r="K57" s="91">
        <f>SUM(K45:K51)</f>
        <v>0</v>
      </c>
      <c r="M57" s="91">
        <f>SUM(M45:M51)</f>
        <v>11633.039999999999</v>
      </c>
      <c r="O57" s="91">
        <f>SUM(O45:O51)</f>
        <v>0</v>
      </c>
      <c r="Q57" s="91">
        <f>SUM(Q45:Q51)</f>
        <v>0</v>
      </c>
      <c r="S57" s="91">
        <f>SUM(S45:S51)</f>
        <v>0</v>
      </c>
      <c r="U57" s="91">
        <f>SUM(U45:U51)</f>
        <v>0</v>
      </c>
      <c r="W57" s="91">
        <f>SUM(W45:W51)</f>
        <v>0</v>
      </c>
      <c r="Y57" s="91">
        <f>SUM(Y45:Y51)</f>
        <v>0</v>
      </c>
      <c r="AA57" s="91">
        <f t="shared" si="3"/>
        <v>11633.039999999999</v>
      </c>
      <c r="AC57" s="99">
        <f>+AA57/AA58</f>
        <v>8.6222533831893243E-4</v>
      </c>
      <c r="AE57" s="91">
        <f>+AE58-AE55-AE56</f>
        <v>14034.204719848931</v>
      </c>
      <c r="AG57" s="82">
        <f>+AE57/AA57-1</f>
        <v>0.20640904869655152</v>
      </c>
    </row>
    <row r="58" spans="1:33">
      <c r="A58" s="74" t="s">
        <v>145</v>
      </c>
      <c r="C58" s="97">
        <f>SUM(C55:C57)</f>
        <v>355650.2</v>
      </c>
      <c r="E58" s="97">
        <f>SUM(E55:E57)</f>
        <v>303917.68</v>
      </c>
      <c r="G58" s="97">
        <f>SUM(G55:G57)</f>
        <v>69139.350000000006</v>
      </c>
      <c r="I58" s="97">
        <f>SUM(I55:I57)</f>
        <v>5422377.6549999993</v>
      </c>
      <c r="K58" s="97">
        <f>SUM(K55:K57)</f>
        <v>380496.65</v>
      </c>
      <c r="M58" s="97">
        <f>SUM(M55:M57)</f>
        <v>4644119.26</v>
      </c>
      <c r="O58" s="97">
        <f>SUM(O55:O57)</f>
        <v>158784.31</v>
      </c>
      <c r="Q58" s="97">
        <f>SUM(Q55:Q57)</f>
        <v>114317.49</v>
      </c>
      <c r="S58" s="97">
        <f>SUM(S55:S57)</f>
        <v>586684.53</v>
      </c>
      <c r="U58" s="97">
        <f>SUM(U55:U57)</f>
        <v>300974.64</v>
      </c>
      <c r="W58" s="97">
        <f>SUM(W55:W57)</f>
        <v>156866.94</v>
      </c>
      <c r="Y58" s="97">
        <f>SUM(Y55:Y57)</f>
        <v>998550.37</v>
      </c>
      <c r="AA58" s="97">
        <f>SUM(AA55:AA57)</f>
        <v>13491879.074999999</v>
      </c>
      <c r="AE58" s="97">
        <f>+AE64</f>
        <v>16276725</v>
      </c>
    </row>
    <row r="60" spans="1:33">
      <c r="A60" s="74" t="s">
        <v>146</v>
      </c>
      <c r="C60" s="95">
        <v>358029</v>
      </c>
      <c r="D60" s="91"/>
      <c r="E60" s="95">
        <v>305242</v>
      </c>
      <c r="F60" s="91"/>
      <c r="G60" s="128">
        <v>69370</v>
      </c>
      <c r="H60" s="91"/>
      <c r="I60" s="95">
        <v>5484612</v>
      </c>
      <c r="J60" s="91"/>
      <c r="K60" s="95">
        <v>382225</v>
      </c>
      <c r="M60" s="95">
        <v>4632114</v>
      </c>
      <c r="O60" s="95">
        <v>161079</v>
      </c>
      <c r="Q60" s="95">
        <v>117092</v>
      </c>
      <c r="S60" s="95">
        <f>539582+47103</f>
        <v>586685</v>
      </c>
      <c r="U60" s="95">
        <f>902832-S60</f>
        <v>316147</v>
      </c>
      <c r="W60" s="95">
        <v>158115</v>
      </c>
      <c r="Y60" s="95">
        <v>1015063</v>
      </c>
      <c r="AA60" s="91">
        <f t="shared" ref="AA60:AA61" si="4">SUM(C60:Y60)</f>
        <v>13585773</v>
      </c>
      <c r="AE60" s="154"/>
      <c r="AG60" s="155"/>
    </row>
    <row r="61" spans="1:33">
      <c r="A61" s="74" t="s">
        <v>149</v>
      </c>
      <c r="C61" s="91">
        <f>3745-1366</f>
        <v>2379</v>
      </c>
      <c r="E61" s="91">
        <f>1366-42</f>
        <v>1324</v>
      </c>
      <c r="G61" s="98">
        <v>231</v>
      </c>
      <c r="I61" s="98">
        <v>62234</v>
      </c>
      <c r="K61" s="98">
        <v>1729</v>
      </c>
      <c r="M61" s="98">
        <f>27213-39218</f>
        <v>-12005</v>
      </c>
      <c r="O61" s="98">
        <f>2306-11</f>
        <v>2295</v>
      </c>
      <c r="Q61" s="98">
        <v>2775</v>
      </c>
      <c r="S61" s="98">
        <v>0</v>
      </c>
      <c r="U61" s="98">
        <v>15173</v>
      </c>
      <c r="W61" s="98">
        <v>1248</v>
      </c>
      <c r="Y61" s="98">
        <v>16513</v>
      </c>
      <c r="AA61" s="91">
        <f t="shared" si="4"/>
        <v>93896</v>
      </c>
    </row>
    <row r="62" spans="1:33">
      <c r="A62" s="271" t="s">
        <v>315</v>
      </c>
      <c r="C62" s="97">
        <f>+C60-C61</f>
        <v>355650</v>
      </c>
      <c r="E62" s="97">
        <f>+E60-E61</f>
        <v>303918</v>
      </c>
      <c r="G62" s="97">
        <f>+G60-G61</f>
        <v>69139</v>
      </c>
      <c r="I62" s="97">
        <f>+I60-I61</f>
        <v>5422378</v>
      </c>
      <c r="K62" s="97">
        <f>+K60-K61</f>
        <v>380496</v>
      </c>
      <c r="M62" s="97">
        <f>+M60-M61</f>
        <v>4644119</v>
      </c>
      <c r="O62" s="97">
        <f>+O60-O61</f>
        <v>158784</v>
      </c>
      <c r="Q62" s="97">
        <f>+Q60-Q61</f>
        <v>114317</v>
      </c>
      <c r="S62" s="97">
        <f>+S60-S61</f>
        <v>586685</v>
      </c>
      <c r="U62" s="97">
        <f>+U60-U61</f>
        <v>300974</v>
      </c>
      <c r="W62" s="97">
        <f>+W60-W61</f>
        <v>156867</v>
      </c>
      <c r="Y62" s="97">
        <f>+Y60-Y61</f>
        <v>998550</v>
      </c>
      <c r="AA62" s="97">
        <f>+AA60-AA61</f>
        <v>13491877</v>
      </c>
      <c r="AE62" s="243">
        <v>16370621</v>
      </c>
      <c r="AG62" s="250" t="s">
        <v>270</v>
      </c>
    </row>
    <row r="63" spans="1:33">
      <c r="AE63" s="243">
        <f>-AA61</f>
        <v>-93896</v>
      </c>
      <c r="AG63" s="250" t="s">
        <v>271</v>
      </c>
    </row>
    <row r="64" spans="1:33" ht="15.75" thickBot="1">
      <c r="A64" s="74"/>
      <c r="C64" s="91">
        <f>+C58-C62</f>
        <v>0.20000000001164153</v>
      </c>
      <c r="E64" s="91">
        <f>+E58-E62</f>
        <v>-0.32000000000698492</v>
      </c>
      <c r="G64" s="91">
        <f>+G58-G62</f>
        <v>0.35000000000582077</v>
      </c>
      <c r="I64" s="91">
        <f>+I58-I62</f>
        <v>-0.34500000067055225</v>
      </c>
      <c r="K64" s="91">
        <f>+K58-K62</f>
        <v>0.65000000002328306</v>
      </c>
      <c r="M64" s="91">
        <f>+M58-M62</f>
        <v>0.25999999977648258</v>
      </c>
      <c r="O64" s="91">
        <f>+O58-O62</f>
        <v>0.30999999999767169</v>
      </c>
      <c r="Q64" s="91">
        <f>+Q58-Q62</f>
        <v>0.49000000000523869</v>
      </c>
      <c r="S64" s="91">
        <f>+S58-S62</f>
        <v>-0.46999999997206032</v>
      </c>
      <c r="T64" s="91"/>
      <c r="U64" s="91">
        <f>+U58-U62</f>
        <v>0.64000000001396984</v>
      </c>
      <c r="W64" s="91">
        <f>+W58-W62</f>
        <v>-5.9999999997671694E-2</v>
      </c>
      <c r="Y64" s="91">
        <f>+Y58-Y62</f>
        <v>0.36999999999534339</v>
      </c>
      <c r="AA64" s="91"/>
      <c r="AE64" s="244">
        <f>+AE62+AE63</f>
        <v>16276725</v>
      </c>
      <c r="AG64" s="250" t="s">
        <v>272</v>
      </c>
    </row>
    <row r="65" spans="1:29" ht="15.75" thickTop="1"/>
    <row r="66" spans="1:29">
      <c r="A66" s="74"/>
      <c r="C66" s="73" t="s">
        <v>86</v>
      </c>
      <c r="E66" s="72" t="s">
        <v>92</v>
      </c>
      <c r="G66" s="73" t="s">
        <v>95</v>
      </c>
      <c r="I66" s="73" t="s">
        <v>96</v>
      </c>
      <c r="K66" s="73" t="s">
        <v>118</v>
      </c>
      <c r="M66" s="73" t="s">
        <v>104</v>
      </c>
      <c r="N66" s="73"/>
      <c r="O66" s="73" t="s">
        <v>107</v>
      </c>
      <c r="P66" s="73"/>
      <c r="Q66" s="73" t="s">
        <v>108</v>
      </c>
      <c r="R66" s="73"/>
      <c r="S66" s="73" t="s">
        <v>113</v>
      </c>
      <c r="T66" s="73"/>
      <c r="U66" s="73" t="s">
        <v>119</v>
      </c>
      <c r="V66" s="73"/>
      <c r="W66" s="73" t="s">
        <v>114</v>
      </c>
      <c r="X66" s="73"/>
      <c r="Y66" s="73" t="s">
        <v>115</v>
      </c>
      <c r="AC66" s="248" t="s">
        <v>267</v>
      </c>
    </row>
    <row r="67" spans="1:29">
      <c r="C67" s="82">
        <f>+C55/C$58</f>
        <v>0.36828529830715684</v>
      </c>
      <c r="E67" s="82">
        <f>+E55/E$58</f>
        <v>0.50841899030026816</v>
      </c>
      <c r="G67" s="82">
        <f>+G55/G$58</f>
        <v>0.54830339018229113</v>
      </c>
      <c r="I67" s="82">
        <f>+I55/I$58</f>
        <v>0.24203388227484127</v>
      </c>
      <c r="K67" s="82">
        <f>+K55/K$58</f>
        <v>0.24269320110965498</v>
      </c>
      <c r="M67" s="82">
        <f>+M55/M$58</f>
        <v>0.20844594546437209</v>
      </c>
      <c r="O67" s="82">
        <f>+O55/O$58</f>
        <v>0.32044268101804269</v>
      </c>
      <c r="Q67" s="82">
        <f>+Q55/Q$58</f>
        <v>0.28428012196558899</v>
      </c>
      <c r="S67" s="82">
        <f>+S55/S$58</f>
        <v>0.43315532795794015</v>
      </c>
      <c r="U67" s="82">
        <f>+U55/U$58</f>
        <v>0.53002286172682189</v>
      </c>
      <c r="W67" s="82">
        <f>+W55/W$58</f>
        <v>0.47259346041938471</v>
      </c>
      <c r="Y67" s="82">
        <f>+Y55/Y$58</f>
        <v>0.26885921638584936</v>
      </c>
      <c r="AA67" s="82">
        <f>+AA55/AA$58</f>
        <v>0.26207103290391742</v>
      </c>
      <c r="AC67" s="99">
        <v>0.35</v>
      </c>
    </row>
    <row r="68" spans="1:29">
      <c r="C68" s="82">
        <f>+C56/C$58</f>
        <v>0.63171470169284305</v>
      </c>
      <c r="E68" s="82">
        <f>+E56/E$58</f>
        <v>0.4915810096997319</v>
      </c>
      <c r="G68" s="82">
        <f>+G56/G$58</f>
        <v>0.45169660981770871</v>
      </c>
      <c r="I68" s="82">
        <f>+I56/I$58</f>
        <v>0.75796611772515876</v>
      </c>
      <c r="K68" s="82">
        <f>+K56/K$58</f>
        <v>0.75730679889034502</v>
      </c>
      <c r="M68" s="82">
        <f>+M56/M$58</f>
        <v>0.78904915762219252</v>
      </c>
      <c r="O68" s="82">
        <f>+O56/O$58</f>
        <v>0.67955731898195737</v>
      </c>
      <c r="Q68" s="82">
        <f>+Q56/Q$58</f>
        <v>0.71571987803441095</v>
      </c>
      <c r="S68" s="82">
        <f>+S56/S$58</f>
        <v>0.56684467204205979</v>
      </c>
      <c r="U68" s="82">
        <f>+U56/U$58</f>
        <v>0.46997713827317811</v>
      </c>
      <c r="W68" s="82">
        <f>+W56/W$58</f>
        <v>0.52740653958061523</v>
      </c>
      <c r="Y68" s="82">
        <f>+Y56/Y$58</f>
        <v>0.73114078361415058</v>
      </c>
      <c r="AA68" s="82">
        <f>+AA56/AA$58</f>
        <v>0.73706674175776365</v>
      </c>
      <c r="AC68" s="247">
        <f>1-AC67-AC69</f>
        <v>0.6491377746616811</v>
      </c>
    </row>
    <row r="69" spans="1:29">
      <c r="C69" s="82">
        <f>+C57/C$58</f>
        <v>0</v>
      </c>
      <c r="E69" s="82">
        <f>+E57/E$58</f>
        <v>0</v>
      </c>
      <c r="G69" s="82">
        <f>+G57/G$58</f>
        <v>0</v>
      </c>
      <c r="I69" s="82">
        <f>+I57/I$58</f>
        <v>0</v>
      </c>
      <c r="K69" s="82">
        <f>+K57/K$58</f>
        <v>0</v>
      </c>
      <c r="M69" s="82">
        <f>+M57/M$58</f>
        <v>2.5048969134354227E-3</v>
      </c>
      <c r="O69" s="82">
        <f>+O57/O$58</f>
        <v>0</v>
      </c>
      <c r="Q69" s="82">
        <f>+Q57/Q$58</f>
        <v>0</v>
      </c>
      <c r="S69" s="82">
        <f>+S57/S$58</f>
        <v>0</v>
      </c>
      <c r="U69" s="82">
        <f>+U57/U$58</f>
        <v>0</v>
      </c>
      <c r="W69" s="82">
        <f>+W57/W$58</f>
        <v>0</v>
      </c>
      <c r="Y69" s="82">
        <f>+Y57/Y$58</f>
        <v>0</v>
      </c>
      <c r="AA69" s="82">
        <f>+AA57/AA$58</f>
        <v>8.6222533831893243E-4</v>
      </c>
      <c r="AC69" s="247">
        <f>+AA69</f>
        <v>8.6222533831893243E-4</v>
      </c>
    </row>
  </sheetData>
  <printOptions horizontalCentered="1"/>
  <pageMargins left="0.2" right="0.2" top="0.5" bottom="0" header="0.3" footer="0.3"/>
  <pageSetup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4"/>
  <sheetViews>
    <sheetView zoomScaleNormal="100" workbookViewId="0">
      <selection activeCell="AD34" sqref="AD34"/>
    </sheetView>
  </sheetViews>
  <sheetFormatPr defaultRowHeight="15"/>
  <cols>
    <col min="1" max="1" width="16.42578125" style="72" customWidth="1"/>
    <col min="2" max="2" width="3.7109375" style="72" customWidth="1"/>
    <col min="3" max="3" width="7.85546875" style="72" bestFit="1" customWidth="1"/>
    <col min="4" max="4" width="3.7109375" style="72" customWidth="1"/>
    <col min="5" max="5" width="8.7109375" style="72" bestFit="1" customWidth="1"/>
    <col min="6" max="6" width="3.7109375" style="72" customWidth="1"/>
    <col min="7" max="7" width="6.28515625" style="72" bestFit="1" customWidth="1"/>
    <col min="8" max="8" width="3.7109375" style="72" customWidth="1"/>
    <col min="9" max="9" width="9.140625" style="72"/>
    <col min="10" max="10" width="3.7109375" style="72" customWidth="1"/>
    <col min="11" max="11" width="9.5703125" style="72" bestFit="1" customWidth="1"/>
    <col min="12" max="12" width="3.7109375" style="72" customWidth="1"/>
    <col min="13" max="13" width="9.140625" style="72"/>
    <col min="14" max="14" width="3.7109375" style="72" customWidth="1"/>
    <col min="15" max="15" width="7.28515625" style="72" bestFit="1" customWidth="1"/>
    <col min="16" max="16" width="3.7109375" style="72" customWidth="1"/>
    <col min="17" max="17" width="7.42578125" style="72" bestFit="1" customWidth="1"/>
    <col min="18" max="18" width="3.7109375" style="72" customWidth="1"/>
    <col min="19" max="19" width="10.140625" style="72" bestFit="1" customWidth="1"/>
    <col min="20" max="20" width="3.7109375" style="72" customWidth="1"/>
    <col min="21" max="21" width="9.85546875" style="72" bestFit="1" customWidth="1"/>
    <col min="22" max="22" width="3.7109375" style="72" customWidth="1"/>
    <col min="23" max="23" width="8" style="72" bestFit="1" customWidth="1"/>
    <col min="24" max="24" width="3.7109375" style="72" customWidth="1"/>
    <col min="25" max="25" width="9.140625" style="72"/>
    <col min="26" max="26" width="3.7109375" style="72" customWidth="1"/>
    <col min="27" max="16384" width="9.140625" style="72"/>
  </cols>
  <sheetData>
    <row r="1" spans="1:27" ht="18.75">
      <c r="A1" s="71" t="s">
        <v>157</v>
      </c>
      <c r="AA1" s="74" t="str">
        <f>+'Water Rate Design'!$K$1</f>
        <v>Docket No. 160101 -WS</v>
      </c>
    </row>
    <row r="2" spans="1:27">
      <c r="A2" s="72" t="s">
        <v>136</v>
      </c>
      <c r="AA2" s="74" t="str">
        <f>+'Water Rate Design'!$K$2</f>
        <v>Exhibit JFG-Rate Design</v>
      </c>
    </row>
    <row r="3" spans="1:27">
      <c r="AA3" s="74" t="s">
        <v>319</v>
      </c>
    </row>
    <row r="4" spans="1:27">
      <c r="G4" s="73" t="s">
        <v>94</v>
      </c>
      <c r="O4" s="73"/>
      <c r="S4" s="73" t="s">
        <v>112</v>
      </c>
      <c r="U4" s="73" t="s">
        <v>112</v>
      </c>
    </row>
    <row r="5" spans="1:27">
      <c r="A5" s="72" t="s">
        <v>83</v>
      </c>
      <c r="C5" s="73" t="s">
        <v>86</v>
      </c>
      <c r="E5" s="72" t="s">
        <v>92</v>
      </c>
      <c r="G5" s="73" t="s">
        <v>95</v>
      </c>
      <c r="I5" s="73" t="s">
        <v>96</v>
      </c>
      <c r="K5" s="72" t="s">
        <v>118</v>
      </c>
      <c r="M5" s="73" t="s">
        <v>104</v>
      </c>
      <c r="O5" s="73" t="s">
        <v>107</v>
      </c>
      <c r="Q5" s="72" t="s">
        <v>108</v>
      </c>
      <c r="S5" s="73" t="s">
        <v>113</v>
      </c>
      <c r="U5" s="73" t="s">
        <v>119</v>
      </c>
      <c r="W5" s="73" t="s">
        <v>114</v>
      </c>
      <c r="Y5" s="72" t="s">
        <v>115</v>
      </c>
    </row>
    <row r="6" spans="1:27">
      <c r="A6" s="74" t="s">
        <v>85</v>
      </c>
      <c r="C6" s="83">
        <v>1</v>
      </c>
      <c r="E6" s="83">
        <f>+C6+1</f>
        <v>2</v>
      </c>
      <c r="G6" s="83">
        <f>+E6+1</f>
        <v>3</v>
      </c>
      <c r="I6" s="83">
        <f>+G6+1</f>
        <v>4</v>
      </c>
      <c r="K6" s="83">
        <f>+I6+1</f>
        <v>5</v>
      </c>
      <c r="M6" s="83">
        <f>+K6+1</f>
        <v>6</v>
      </c>
      <c r="O6" s="83">
        <f>+M6+1</f>
        <v>7</v>
      </c>
      <c r="Q6" s="83">
        <f>+O6+1</f>
        <v>8</v>
      </c>
      <c r="S6" s="83">
        <f>+Q6+1</f>
        <v>9</v>
      </c>
      <c r="U6" s="83">
        <f>+S6+1</f>
        <v>10</v>
      </c>
      <c r="W6" s="83">
        <f>+U6+1</f>
        <v>11</v>
      </c>
      <c r="Y6" s="83">
        <f>+W6+1</f>
        <v>12</v>
      </c>
      <c r="AA6" s="83" t="s">
        <v>137</v>
      </c>
    </row>
    <row r="7" spans="1:27">
      <c r="A7" s="74" t="s">
        <v>81</v>
      </c>
      <c r="C7" s="91">
        <v>17758</v>
      </c>
      <c r="D7" s="92"/>
      <c r="E7" s="91">
        <v>10527</v>
      </c>
      <c r="F7" s="93"/>
      <c r="G7" s="91">
        <v>1276</v>
      </c>
      <c r="H7" s="93"/>
      <c r="I7" s="91">
        <f>119202+64</f>
        <v>119266</v>
      </c>
      <c r="J7" s="93"/>
      <c r="K7" s="91">
        <f>14727+1168</f>
        <v>15895</v>
      </c>
      <c r="L7" s="93"/>
      <c r="M7" s="91">
        <v>73440</v>
      </c>
      <c r="N7" s="93"/>
      <c r="O7" s="91">
        <v>1208</v>
      </c>
      <c r="P7" s="93"/>
      <c r="Q7" s="91">
        <v>3718</v>
      </c>
      <c r="R7" s="93"/>
      <c r="S7" s="91">
        <f>20158-1*0</f>
        <v>20158</v>
      </c>
      <c r="T7" s="93"/>
      <c r="U7" s="91">
        <v>14064</v>
      </c>
      <c r="V7" s="93"/>
      <c r="W7" s="91">
        <v>5936</v>
      </c>
      <c r="X7" s="93"/>
      <c r="Y7" s="91">
        <f>30996+112</f>
        <v>31108</v>
      </c>
      <c r="Z7" s="93"/>
      <c r="AA7" s="91">
        <f>SUM(C7:Y7)</f>
        <v>314354</v>
      </c>
    </row>
    <row r="8" spans="1:27">
      <c r="A8" s="74" t="s">
        <v>26</v>
      </c>
      <c r="C8" s="91"/>
      <c r="D8" s="92"/>
      <c r="E8" s="91"/>
      <c r="F8" s="93"/>
      <c r="G8" s="91"/>
      <c r="H8" s="93"/>
      <c r="I8" s="91"/>
      <c r="J8" s="93"/>
      <c r="K8" s="91"/>
      <c r="L8" s="93"/>
      <c r="M8" s="91"/>
      <c r="N8" s="93"/>
      <c r="O8" s="93"/>
      <c r="P8" s="93"/>
      <c r="Q8" s="93"/>
      <c r="R8" s="93"/>
      <c r="S8" s="91"/>
      <c r="T8" s="93"/>
      <c r="U8" s="91"/>
      <c r="V8" s="93"/>
      <c r="W8" s="93"/>
      <c r="X8" s="93"/>
      <c r="Y8" s="93"/>
      <c r="Z8" s="93"/>
      <c r="AA8" s="91">
        <f t="shared" ref="AA8:AA16" si="0">SUM(C8:Y8)</f>
        <v>0</v>
      </c>
    </row>
    <row r="9" spans="1:27">
      <c r="A9" s="74" t="s">
        <v>82</v>
      </c>
      <c r="C9" s="91"/>
      <c r="D9" s="92"/>
      <c r="E9" s="91"/>
      <c r="F9" s="93"/>
      <c r="G9" s="91"/>
      <c r="H9" s="93"/>
      <c r="I9" s="91">
        <v>595</v>
      </c>
      <c r="J9" s="93"/>
      <c r="K9" s="91"/>
      <c r="L9" s="93"/>
      <c r="M9" s="91">
        <v>40542</v>
      </c>
      <c r="N9" s="93"/>
      <c r="O9" s="91">
        <v>4665</v>
      </c>
      <c r="P9" s="93"/>
      <c r="Q9" s="91">
        <v>12</v>
      </c>
      <c r="R9" s="93"/>
      <c r="S9" s="91">
        <v>24</v>
      </c>
      <c r="T9" s="93"/>
      <c r="U9" s="91"/>
      <c r="V9" s="93"/>
      <c r="W9" s="91">
        <v>97</v>
      </c>
      <c r="X9" s="93"/>
      <c r="Y9" s="91">
        <f>89+96</f>
        <v>185</v>
      </c>
      <c r="Z9" s="93"/>
      <c r="AA9" s="91">
        <f t="shared" si="0"/>
        <v>46120</v>
      </c>
    </row>
    <row r="10" spans="1:27">
      <c r="A10" s="74" t="s">
        <v>90</v>
      </c>
      <c r="C10" s="91"/>
      <c r="D10" s="92"/>
      <c r="E10" s="91"/>
      <c r="F10" s="93"/>
      <c r="G10" s="91"/>
      <c r="H10" s="93"/>
      <c r="I10" s="91">
        <v>36</v>
      </c>
      <c r="J10" s="93"/>
      <c r="K10" s="91"/>
      <c r="L10" s="93"/>
      <c r="M10" s="91">
        <v>191</v>
      </c>
      <c r="N10" s="93"/>
      <c r="O10" s="91"/>
      <c r="P10" s="93"/>
      <c r="Q10" s="91"/>
      <c r="R10" s="93"/>
      <c r="S10" s="91"/>
      <c r="T10" s="93"/>
      <c r="U10" s="91"/>
      <c r="V10" s="93"/>
      <c r="W10" s="91"/>
      <c r="X10" s="93"/>
      <c r="Y10" s="91"/>
      <c r="Z10" s="93"/>
      <c r="AA10" s="91">
        <f t="shared" si="0"/>
        <v>227</v>
      </c>
    </row>
    <row r="11" spans="1:27">
      <c r="A11" s="74" t="s">
        <v>29</v>
      </c>
      <c r="C11" s="91"/>
      <c r="D11" s="92"/>
      <c r="E11" s="91"/>
      <c r="F11" s="93"/>
      <c r="G11" s="91"/>
      <c r="H11" s="93"/>
      <c r="I11" s="91">
        <f>11.5</f>
        <v>11.5</v>
      </c>
      <c r="J11" s="93"/>
      <c r="K11" s="91"/>
      <c r="L11" s="93"/>
      <c r="M11" s="91"/>
      <c r="N11" s="93"/>
      <c r="O11" s="91"/>
      <c r="P11" s="93"/>
      <c r="Q11" s="91"/>
      <c r="R11" s="93"/>
      <c r="S11" s="91"/>
      <c r="T11" s="93"/>
      <c r="U11" s="91"/>
      <c r="V11" s="93"/>
      <c r="W11" s="91"/>
      <c r="X11" s="93"/>
      <c r="Y11" s="91"/>
      <c r="Z11" s="93"/>
      <c r="AA11" s="91">
        <f t="shared" si="0"/>
        <v>11.5</v>
      </c>
    </row>
    <row r="12" spans="1:27">
      <c r="A12" s="74" t="s">
        <v>30</v>
      </c>
      <c r="C12" s="91"/>
      <c r="D12" s="92"/>
      <c r="E12" s="91"/>
      <c r="F12" s="93"/>
      <c r="G12" s="91"/>
      <c r="H12" s="93"/>
      <c r="I12" s="91"/>
      <c r="J12" s="93"/>
      <c r="K12" s="91"/>
      <c r="L12" s="93"/>
      <c r="M12" s="91"/>
      <c r="N12" s="93"/>
      <c r="O12" s="91"/>
      <c r="P12" s="93"/>
      <c r="Q12" s="91"/>
      <c r="R12" s="93"/>
      <c r="S12" s="91"/>
      <c r="T12" s="93"/>
      <c r="U12" s="91"/>
      <c r="V12" s="93"/>
      <c r="W12" s="91"/>
      <c r="X12" s="93"/>
      <c r="Y12" s="91"/>
      <c r="Z12" s="93"/>
      <c r="AA12" s="91">
        <f t="shared" si="0"/>
        <v>0</v>
      </c>
    </row>
    <row r="13" spans="1:27">
      <c r="A13" s="74" t="s">
        <v>31</v>
      </c>
      <c r="C13" s="91"/>
      <c r="D13" s="92"/>
      <c r="E13" s="91"/>
      <c r="F13" s="93"/>
      <c r="G13" s="91"/>
      <c r="H13" s="93"/>
      <c r="I13" s="91"/>
      <c r="J13" s="93"/>
      <c r="K13" s="91"/>
      <c r="L13" s="93"/>
      <c r="M13" s="91"/>
      <c r="N13" s="93"/>
      <c r="O13" s="91"/>
      <c r="P13" s="93"/>
      <c r="Q13" s="91"/>
      <c r="R13" s="93"/>
      <c r="S13" s="91"/>
      <c r="T13" s="93"/>
      <c r="U13" s="91"/>
      <c r="V13" s="93"/>
      <c r="W13" s="91"/>
      <c r="X13" s="93"/>
      <c r="Y13" s="91"/>
      <c r="Z13" s="93"/>
      <c r="AA13" s="91">
        <f t="shared" si="0"/>
        <v>0</v>
      </c>
    </row>
    <row r="14" spans="1:27">
      <c r="A14" s="74" t="s">
        <v>32</v>
      </c>
      <c r="C14" s="91"/>
      <c r="D14" s="92"/>
      <c r="E14" s="91"/>
      <c r="F14" s="93"/>
      <c r="G14" s="91"/>
      <c r="H14" s="93"/>
      <c r="I14" s="91"/>
      <c r="J14" s="93"/>
      <c r="K14" s="91"/>
      <c r="L14" s="93"/>
      <c r="M14" s="91"/>
      <c r="N14" s="93"/>
      <c r="O14" s="91"/>
      <c r="P14" s="93"/>
      <c r="Q14" s="91"/>
      <c r="R14" s="93"/>
      <c r="S14" s="91"/>
      <c r="T14" s="93"/>
      <c r="U14" s="91"/>
      <c r="V14" s="93"/>
      <c r="W14" s="91"/>
      <c r="X14" s="93"/>
      <c r="Y14" s="91"/>
      <c r="Z14" s="93"/>
      <c r="AA14" s="91">
        <f t="shared" si="0"/>
        <v>0</v>
      </c>
    </row>
    <row r="15" spans="1:27">
      <c r="A15" s="74" t="s">
        <v>48</v>
      </c>
      <c r="C15" s="93"/>
      <c r="D15" s="93"/>
      <c r="E15" s="93"/>
      <c r="F15" s="93"/>
      <c r="G15" s="94"/>
      <c r="H15" s="93"/>
      <c r="I15" s="91">
        <v>46</v>
      </c>
      <c r="J15" s="93"/>
      <c r="K15" s="94"/>
      <c r="L15" s="93"/>
      <c r="M15" s="91"/>
      <c r="N15" s="93"/>
      <c r="O15" s="93"/>
      <c r="P15" s="93"/>
      <c r="Q15" s="95"/>
      <c r="R15" s="93"/>
      <c r="S15" s="94"/>
      <c r="T15" s="93"/>
      <c r="U15" s="94"/>
      <c r="V15" s="93"/>
      <c r="W15" s="93"/>
      <c r="X15" s="93"/>
      <c r="Y15" s="95"/>
      <c r="Z15" s="93"/>
      <c r="AA15" s="91">
        <f t="shared" si="0"/>
        <v>46</v>
      </c>
    </row>
    <row r="16" spans="1:27">
      <c r="A16" s="74" t="s">
        <v>54</v>
      </c>
      <c r="C16" s="93"/>
      <c r="D16" s="93"/>
      <c r="E16" s="93"/>
      <c r="F16" s="93"/>
      <c r="G16" s="93"/>
      <c r="H16" s="93"/>
      <c r="I16" s="91"/>
      <c r="J16" s="93"/>
      <c r="K16" s="95"/>
      <c r="L16" s="93"/>
      <c r="M16" s="94"/>
      <c r="N16" s="93"/>
      <c r="O16" s="93"/>
      <c r="P16" s="93"/>
      <c r="Q16" s="93"/>
      <c r="R16" s="93"/>
      <c r="S16" s="93"/>
      <c r="T16" s="93"/>
      <c r="U16" s="93"/>
      <c r="V16" s="93"/>
      <c r="W16" s="96"/>
      <c r="X16" s="93"/>
      <c r="Y16" s="93"/>
      <c r="Z16" s="93"/>
      <c r="AA16" s="91">
        <f t="shared" si="0"/>
        <v>0</v>
      </c>
    </row>
    <row r="17" spans="1:27">
      <c r="C17" s="97">
        <f>SUM(C7:C16)</f>
        <v>17758</v>
      </c>
      <c r="D17" s="275"/>
      <c r="E17" s="97">
        <f>SUM(E7:E16)</f>
        <v>10527</v>
      </c>
      <c r="F17" s="275"/>
      <c r="G17" s="97">
        <f>SUM(G7:G16)</f>
        <v>1276</v>
      </c>
      <c r="H17" s="275"/>
      <c r="I17" s="97">
        <f>SUM(I7:I16)</f>
        <v>119954.5</v>
      </c>
      <c r="J17" s="275"/>
      <c r="K17" s="97">
        <f>SUM(K7:K16)</f>
        <v>15895</v>
      </c>
      <c r="L17" s="275"/>
      <c r="M17" s="97">
        <f>SUM(M7:M16)</f>
        <v>114173</v>
      </c>
      <c r="N17" s="275"/>
      <c r="O17" s="97">
        <f>SUM(O7:O16)</f>
        <v>5873</v>
      </c>
      <c r="P17" s="275"/>
      <c r="Q17" s="97">
        <f>SUM(Q7:Q16)</f>
        <v>3730</v>
      </c>
      <c r="R17" s="275"/>
      <c r="S17" s="97">
        <f>SUM(S7:S16)</f>
        <v>20182</v>
      </c>
      <c r="T17" s="275"/>
      <c r="U17" s="97">
        <f>SUM(U7:U16)</f>
        <v>14064</v>
      </c>
      <c r="V17" s="275"/>
      <c r="W17" s="97">
        <f>SUM(W7:W16)</f>
        <v>6033</v>
      </c>
      <c r="X17" s="275"/>
      <c r="Y17" s="97">
        <f>SUM(Y7:Y16)</f>
        <v>31293</v>
      </c>
      <c r="AA17" s="97">
        <f>SUM(AA7:AA16)</f>
        <v>360758.5</v>
      </c>
    </row>
    <row r="18" spans="1:27">
      <c r="A18" s="33"/>
      <c r="B18" s="74"/>
      <c r="C18" s="76"/>
      <c r="D18" s="74"/>
      <c r="E18" s="76"/>
      <c r="F18" s="74"/>
      <c r="G18" s="76"/>
      <c r="H18" s="74"/>
      <c r="I18" s="47"/>
      <c r="J18" s="74"/>
      <c r="K18" s="76"/>
      <c r="L18" s="74"/>
      <c r="M18" s="47"/>
      <c r="N18" s="74"/>
      <c r="O18" s="47"/>
      <c r="P18" s="74"/>
      <c r="Q18" s="76"/>
      <c r="R18" s="74"/>
      <c r="S18" s="47"/>
      <c r="T18" s="74"/>
      <c r="U18" s="47"/>
      <c r="V18" s="74"/>
      <c r="W18" s="47"/>
      <c r="X18" s="74"/>
      <c r="Y18" s="47"/>
    </row>
    <row r="19" spans="1:27">
      <c r="A19" s="33"/>
      <c r="B19" s="74"/>
      <c r="C19" s="76"/>
      <c r="H19" s="74"/>
      <c r="I19" s="47"/>
      <c r="J19" s="74"/>
      <c r="K19" s="76"/>
      <c r="L19" s="74"/>
      <c r="M19" s="47"/>
      <c r="P19" s="74"/>
      <c r="Q19" s="76"/>
      <c r="X19" s="74"/>
      <c r="Y19" s="47"/>
    </row>
    <row r="20" spans="1:27">
      <c r="A20" s="33"/>
      <c r="B20" s="77"/>
      <c r="C20" s="76"/>
      <c r="H20" s="77"/>
      <c r="I20" s="47"/>
      <c r="J20" s="74"/>
      <c r="K20" s="76"/>
      <c r="L20" s="77"/>
      <c r="M20" s="47"/>
      <c r="P20" s="74"/>
      <c r="Q20" s="76"/>
      <c r="X20" s="77"/>
      <c r="Y20" s="47"/>
    </row>
    <row r="21" spans="1:27">
      <c r="B21" s="74"/>
      <c r="J21" s="77"/>
      <c r="K21" s="76"/>
      <c r="P21" s="77"/>
      <c r="Q21" s="76"/>
    </row>
    <row r="22" spans="1:27">
      <c r="A22" s="72" t="s">
        <v>84</v>
      </c>
      <c r="B22" s="74"/>
    </row>
    <row r="23" spans="1:27">
      <c r="A23" s="74" t="s">
        <v>85</v>
      </c>
      <c r="B23" s="74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</row>
    <row r="24" spans="1:27">
      <c r="A24" s="74" t="s">
        <v>81</v>
      </c>
      <c r="B24" s="74"/>
      <c r="C24" s="91">
        <v>96</v>
      </c>
      <c r="D24" s="91"/>
      <c r="E24" s="91">
        <v>12</v>
      </c>
      <c r="F24" s="91"/>
      <c r="G24" s="91">
        <v>115</v>
      </c>
      <c r="H24" s="91"/>
      <c r="I24" s="91">
        <f>979-1</f>
        <v>978</v>
      </c>
      <c r="J24" s="91"/>
      <c r="K24" s="91">
        <f>48+372</f>
        <v>420</v>
      </c>
      <c r="L24" s="91"/>
      <c r="M24" s="91">
        <v>2064</v>
      </c>
      <c r="N24" s="91"/>
      <c r="O24" s="91">
        <v>228</v>
      </c>
      <c r="P24" s="91"/>
      <c r="Q24" s="91">
        <v>23</v>
      </c>
      <c r="R24" s="91"/>
      <c r="S24" s="91">
        <v>350</v>
      </c>
      <c r="T24" s="91"/>
      <c r="U24" s="91">
        <v>36</v>
      </c>
      <c r="V24" s="91"/>
      <c r="W24" s="91">
        <v>24</v>
      </c>
      <c r="X24" s="91"/>
      <c r="Y24" s="91">
        <f>48+36</f>
        <v>84</v>
      </c>
      <c r="Z24" s="91"/>
      <c r="AA24" s="91">
        <f>SUM(C24:Y24)</f>
        <v>4430</v>
      </c>
    </row>
    <row r="25" spans="1:27">
      <c r="A25" s="74" t="s">
        <v>26</v>
      </c>
      <c r="B25" s="74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>
        <f t="shared" ref="AA25:AA33" si="1">SUM(C25:Y25)</f>
        <v>0</v>
      </c>
    </row>
    <row r="26" spans="1:27">
      <c r="A26" s="74" t="s">
        <v>82</v>
      </c>
      <c r="B26" s="74"/>
      <c r="C26" s="91">
        <v>51</v>
      </c>
      <c r="D26" s="91"/>
      <c r="E26" s="91">
        <v>36</v>
      </c>
      <c r="F26" s="91"/>
      <c r="G26" s="91">
        <v>35</v>
      </c>
      <c r="H26" s="91"/>
      <c r="I26" s="91">
        <v>620</v>
      </c>
      <c r="J26" s="91"/>
      <c r="K26" s="91"/>
      <c r="L26" s="91"/>
      <c r="M26" s="91">
        <v>2632</v>
      </c>
      <c r="N26" s="91"/>
      <c r="O26" s="91">
        <f>54+24</f>
        <v>78</v>
      </c>
      <c r="P26" s="91"/>
      <c r="Q26" s="91">
        <v>12</v>
      </c>
      <c r="R26" s="91"/>
      <c r="S26" s="91">
        <f>75+24+1</f>
        <v>100</v>
      </c>
      <c r="T26" s="91"/>
      <c r="U26" s="91">
        <v>24</v>
      </c>
      <c r="V26" s="91"/>
      <c r="W26" s="91">
        <v>12</v>
      </c>
      <c r="X26" s="91"/>
      <c r="Y26" s="91">
        <f>8+60</f>
        <v>68</v>
      </c>
      <c r="Z26" s="91"/>
      <c r="AA26" s="91">
        <f t="shared" si="1"/>
        <v>3668</v>
      </c>
    </row>
    <row r="27" spans="1:27">
      <c r="A27" s="74" t="s">
        <v>90</v>
      </c>
      <c r="B27" s="74"/>
      <c r="C27" s="91">
        <v>48</v>
      </c>
      <c r="D27" s="91"/>
      <c r="E27" s="91"/>
      <c r="F27" s="91"/>
      <c r="G27" s="91"/>
      <c r="H27" s="91"/>
      <c r="I27" s="91">
        <v>386</v>
      </c>
      <c r="J27" s="91"/>
      <c r="K27" s="91">
        <v>12</v>
      </c>
      <c r="L27" s="91"/>
      <c r="M27" s="91">
        <v>1569</v>
      </c>
      <c r="N27" s="91"/>
      <c r="O27" s="91">
        <v>24</v>
      </c>
      <c r="P27" s="91"/>
      <c r="Q27" s="91"/>
      <c r="R27" s="91"/>
      <c r="S27" s="91">
        <f>12+24</f>
        <v>36</v>
      </c>
      <c r="T27" s="91"/>
      <c r="U27" s="91"/>
      <c r="V27" s="91"/>
      <c r="W27" s="91"/>
      <c r="X27" s="91"/>
      <c r="Y27" s="91">
        <v>12</v>
      </c>
      <c r="Z27" s="91"/>
      <c r="AA27" s="91">
        <f t="shared" si="1"/>
        <v>2087</v>
      </c>
    </row>
    <row r="28" spans="1:27">
      <c r="A28" s="74" t="s">
        <v>29</v>
      </c>
      <c r="B28" s="74"/>
      <c r="C28" s="91">
        <v>48</v>
      </c>
      <c r="D28" s="91"/>
      <c r="E28" s="91"/>
      <c r="F28" s="91"/>
      <c r="G28" s="91"/>
      <c r="H28" s="91"/>
      <c r="I28" s="91">
        <v>199</v>
      </c>
      <c r="J28" s="91"/>
      <c r="K28" s="91">
        <f>12+108</f>
        <v>120</v>
      </c>
      <c r="L28" s="91"/>
      <c r="M28" s="91">
        <v>1527</v>
      </c>
      <c r="N28" s="91"/>
      <c r="O28" s="91"/>
      <c r="P28" s="91"/>
      <c r="Q28" s="91"/>
      <c r="R28" s="91"/>
      <c r="S28" s="91">
        <v>65</v>
      </c>
      <c r="T28" s="91"/>
      <c r="U28" s="91">
        <v>12</v>
      </c>
      <c r="V28" s="91"/>
      <c r="W28" s="91">
        <v>36</v>
      </c>
      <c r="X28" s="91"/>
      <c r="Y28" s="91">
        <f>12+12</f>
        <v>24</v>
      </c>
      <c r="Z28" s="91"/>
      <c r="AA28" s="91">
        <f t="shared" si="1"/>
        <v>2031</v>
      </c>
    </row>
    <row r="29" spans="1:27">
      <c r="A29" s="74" t="s">
        <v>30</v>
      </c>
      <c r="B29" s="74"/>
      <c r="C29" s="91"/>
      <c r="D29" s="91"/>
      <c r="E29" s="91"/>
      <c r="F29" s="91"/>
      <c r="G29" s="91"/>
      <c r="H29" s="91"/>
      <c r="I29" s="91">
        <v>12</v>
      </c>
      <c r="J29" s="91"/>
      <c r="K29" s="91">
        <v>36</v>
      </c>
      <c r="L29" s="91"/>
      <c r="M29" s="91">
        <v>224</v>
      </c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>
        <v>12</v>
      </c>
      <c r="Z29" s="91"/>
      <c r="AA29" s="91">
        <f t="shared" si="1"/>
        <v>284</v>
      </c>
    </row>
    <row r="30" spans="1:27">
      <c r="A30" s="74" t="s">
        <v>31</v>
      </c>
      <c r="B30" s="74"/>
      <c r="C30" s="91"/>
      <c r="D30" s="91"/>
      <c r="E30" s="91"/>
      <c r="F30" s="91"/>
      <c r="G30" s="91">
        <f>36-2*0</f>
        <v>36</v>
      </c>
      <c r="H30" s="91"/>
      <c r="I30" s="91">
        <v>36</v>
      </c>
      <c r="J30" s="91"/>
      <c r="K30" s="91">
        <v>12</v>
      </c>
      <c r="L30" s="91"/>
      <c r="M30" s="91">
        <v>72</v>
      </c>
      <c r="N30" s="91"/>
      <c r="O30" s="91">
        <v>13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>
        <f t="shared" si="1"/>
        <v>169</v>
      </c>
    </row>
    <row r="31" spans="1:27">
      <c r="A31" s="74" t="s">
        <v>32</v>
      </c>
      <c r="B31" s="74"/>
      <c r="C31" s="91"/>
      <c r="D31" s="91"/>
      <c r="E31" s="91">
        <v>12</v>
      </c>
      <c r="F31" s="91"/>
      <c r="G31" s="91"/>
      <c r="H31" s="91"/>
      <c r="I31" s="91"/>
      <c r="J31" s="91"/>
      <c r="K31" s="91"/>
      <c r="L31" s="91"/>
      <c r="M31" s="91">
        <v>35</v>
      </c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>
        <f t="shared" si="1"/>
        <v>47</v>
      </c>
    </row>
    <row r="32" spans="1:27">
      <c r="A32" s="74" t="s">
        <v>48</v>
      </c>
      <c r="B32" s="74"/>
      <c r="C32" s="91"/>
      <c r="D32" s="91"/>
      <c r="E32" s="91"/>
      <c r="F32" s="91"/>
      <c r="G32" s="91"/>
      <c r="H32" s="91"/>
      <c r="I32" s="91">
        <v>28</v>
      </c>
      <c r="J32" s="91"/>
      <c r="K32" s="91"/>
      <c r="L32" s="91"/>
      <c r="M32" s="91">
        <v>48</v>
      </c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>
        <f t="shared" si="1"/>
        <v>76</v>
      </c>
    </row>
    <row r="33" spans="1:30">
      <c r="A33" s="74" t="s">
        <v>54</v>
      </c>
      <c r="B33" s="74"/>
      <c r="C33" s="91"/>
      <c r="D33" s="91"/>
      <c r="E33" s="91"/>
      <c r="F33" s="91"/>
      <c r="G33" s="91"/>
      <c r="H33" s="91"/>
      <c r="I33" s="91">
        <v>12</v>
      </c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>
        <f t="shared" si="1"/>
        <v>12</v>
      </c>
    </row>
    <row r="34" spans="1:30">
      <c r="B34" s="74"/>
      <c r="C34" s="97">
        <f>SUM(C24:C33)</f>
        <v>243</v>
      </c>
      <c r="D34" s="275"/>
      <c r="E34" s="97">
        <f>SUM(E24:E33)</f>
        <v>60</v>
      </c>
      <c r="F34" s="275"/>
      <c r="G34" s="97">
        <f>SUM(G24:G33)</f>
        <v>186</v>
      </c>
      <c r="H34" s="275"/>
      <c r="I34" s="97">
        <f>SUM(I24:I33)</f>
        <v>2271</v>
      </c>
      <c r="J34" s="275"/>
      <c r="K34" s="97">
        <f>SUM(K24:K33)</f>
        <v>600</v>
      </c>
      <c r="L34" s="275"/>
      <c r="M34" s="97">
        <f>SUM(M24:M33)</f>
        <v>8171</v>
      </c>
      <c r="N34" s="275"/>
      <c r="O34" s="97">
        <f>SUM(O24:O33)</f>
        <v>343</v>
      </c>
      <c r="P34" s="275"/>
      <c r="Q34" s="97">
        <f>SUM(Q24:Q33)</f>
        <v>35</v>
      </c>
      <c r="R34" s="275"/>
      <c r="S34" s="97">
        <f>SUM(S24:S33)</f>
        <v>551</v>
      </c>
      <c r="T34" s="275"/>
      <c r="U34" s="97">
        <f>SUM(U24:U33)</f>
        <v>72</v>
      </c>
      <c r="V34" s="275"/>
      <c r="W34" s="97">
        <f>SUM(W24:W33)</f>
        <v>72</v>
      </c>
      <c r="X34" s="275"/>
      <c r="Y34" s="97">
        <f>SUM(Y24:Y33)</f>
        <v>200</v>
      </c>
      <c r="Z34" s="275"/>
      <c r="AA34" s="97">
        <f>SUM(AA24:AA33)</f>
        <v>12804</v>
      </c>
      <c r="AC34" s="93">
        <f>+I34+M34</f>
        <v>10442</v>
      </c>
      <c r="AD34" s="72">
        <f>+AC34/AA34</f>
        <v>0.81552639800062476</v>
      </c>
    </row>
    <row r="35" spans="1:30">
      <c r="B35" s="74"/>
      <c r="C35" s="76"/>
      <c r="D35" s="74"/>
      <c r="E35" s="76"/>
      <c r="F35" s="74"/>
      <c r="G35" s="76"/>
      <c r="H35" s="74"/>
      <c r="I35" s="47"/>
      <c r="J35" s="74"/>
      <c r="K35" s="76"/>
      <c r="L35" s="74"/>
      <c r="M35" s="47"/>
      <c r="N35" s="74"/>
      <c r="O35" s="47"/>
      <c r="P35" s="74"/>
      <c r="Q35" s="76"/>
      <c r="R35" s="74"/>
      <c r="S35" s="47"/>
      <c r="T35" s="74"/>
      <c r="U35" s="47"/>
      <c r="V35" s="74"/>
      <c r="W35" s="47"/>
      <c r="X35" s="74"/>
      <c r="Y35" s="47"/>
    </row>
    <row r="36" spans="1:30">
      <c r="B36" s="74"/>
    </row>
    <row r="37" spans="1:30">
      <c r="A37" s="78" t="s">
        <v>93</v>
      </c>
      <c r="B37" s="74"/>
      <c r="AA37" s="91">
        <f t="shared" ref="AA37" si="2">SUM(C37:Y37)</f>
        <v>0</v>
      </c>
    </row>
    <row r="38" spans="1:30">
      <c r="A38" s="74" t="s">
        <v>29</v>
      </c>
      <c r="B38" s="74"/>
      <c r="E38" s="91">
        <v>0</v>
      </c>
      <c r="AA38" s="97">
        <f>SUM(AA37)</f>
        <v>0</v>
      </c>
    </row>
    <row r="39" spans="1:30">
      <c r="B39" s="74"/>
      <c r="D39" s="74"/>
      <c r="E39" s="97">
        <f>SUM(E38)</f>
        <v>0</v>
      </c>
    </row>
    <row r="40" spans="1:30" ht="15.75" thickBot="1">
      <c r="B40" s="74"/>
      <c r="D40" s="74"/>
      <c r="E40" s="98"/>
      <c r="U40" s="100" t="s">
        <v>166</v>
      </c>
      <c r="V40" s="100"/>
      <c r="W40" s="100"/>
      <c r="X40" s="100"/>
      <c r="Y40" s="100"/>
      <c r="Z40" s="100"/>
      <c r="AA40" s="106">
        <f>+AA17+AA34+AA38</f>
        <v>373562.5</v>
      </c>
    </row>
    <row r="41" spans="1:30" ht="15.75" thickTop="1">
      <c r="B41" s="74"/>
    </row>
    <row r="42" spans="1:30">
      <c r="A42" s="72" t="s">
        <v>100</v>
      </c>
      <c r="B42" s="74"/>
      <c r="I42" s="73"/>
    </row>
    <row r="43" spans="1:30">
      <c r="A43" s="74" t="s">
        <v>90</v>
      </c>
      <c r="B43" s="74"/>
      <c r="I43" s="73"/>
      <c r="M43" s="91">
        <v>24</v>
      </c>
      <c r="N43" s="82"/>
      <c r="AA43" s="91">
        <f t="shared" ref="AA43:AA49" si="3">SUM(C43:Y43)</f>
        <v>24</v>
      </c>
    </row>
    <row r="44" spans="1:30">
      <c r="A44" s="74" t="s">
        <v>29</v>
      </c>
      <c r="B44" s="74"/>
      <c r="I44" s="73"/>
      <c r="M44" s="91">
        <v>156</v>
      </c>
      <c r="N44" s="82"/>
      <c r="AA44" s="91">
        <f t="shared" si="3"/>
        <v>156</v>
      </c>
    </row>
    <row r="45" spans="1:30">
      <c r="A45" s="74" t="s">
        <v>31</v>
      </c>
      <c r="B45" s="74"/>
      <c r="I45" s="91">
        <v>0</v>
      </c>
      <c r="J45" s="81"/>
      <c r="M45" s="91">
        <v>276</v>
      </c>
      <c r="N45" s="82"/>
      <c r="AA45" s="91">
        <f t="shared" si="3"/>
        <v>276</v>
      </c>
    </row>
    <row r="46" spans="1:30">
      <c r="A46" s="74" t="s">
        <v>32</v>
      </c>
      <c r="B46" s="74"/>
      <c r="I46" s="91">
        <v>0</v>
      </c>
      <c r="J46" s="81"/>
      <c r="M46" s="91">
        <v>360</v>
      </c>
      <c r="N46" s="82"/>
      <c r="AA46" s="91">
        <f t="shared" si="3"/>
        <v>360</v>
      </c>
    </row>
    <row r="47" spans="1:30">
      <c r="A47" s="74" t="s">
        <v>48</v>
      </c>
      <c r="I47" s="91">
        <v>0</v>
      </c>
      <c r="J47" s="81"/>
      <c r="M47" s="91">
        <v>60</v>
      </c>
      <c r="N47" s="82"/>
      <c r="AA47" s="91">
        <f t="shared" si="3"/>
        <v>60</v>
      </c>
    </row>
    <row r="48" spans="1:30">
      <c r="A48" s="74" t="s">
        <v>54</v>
      </c>
      <c r="I48" s="91">
        <v>0</v>
      </c>
      <c r="J48" s="81"/>
      <c r="M48" s="91"/>
      <c r="AA48" s="91">
        <f t="shared" si="3"/>
        <v>0</v>
      </c>
    </row>
    <row r="49" spans="1:27">
      <c r="A49" s="74" t="s">
        <v>59</v>
      </c>
      <c r="I49" s="91">
        <v>0</v>
      </c>
      <c r="J49" s="81"/>
      <c r="M49" s="91"/>
      <c r="AA49" s="91">
        <f t="shared" si="3"/>
        <v>0</v>
      </c>
    </row>
    <row r="50" spans="1:27" ht="15.75" thickBot="1">
      <c r="I50" s="97">
        <f>SUM(I43:I49)</f>
        <v>0</v>
      </c>
      <c r="M50" s="97">
        <f>SUM(M43:M49)</f>
        <v>876</v>
      </c>
      <c r="U50" s="100" t="s">
        <v>167</v>
      </c>
      <c r="AA50" s="107">
        <f>SUM(AA43:AA49)</f>
        <v>876</v>
      </c>
    </row>
    <row r="51" spans="1:27" ht="15.75" thickTop="1"/>
    <row r="52" spans="1:27">
      <c r="A52" s="74" t="s">
        <v>265</v>
      </c>
      <c r="C52" s="243">
        <f>+C17+C34+C39+C50</f>
        <v>18001</v>
      </c>
      <c r="D52" s="147"/>
      <c r="E52" s="243">
        <f>+E17+E34+E39+E50</f>
        <v>10587</v>
      </c>
      <c r="F52" s="147"/>
      <c r="G52" s="243">
        <f>+G17+G34+G39+G50</f>
        <v>1462</v>
      </c>
      <c r="H52" s="147"/>
      <c r="I52" s="243">
        <f>+I17+I34+I39+I50</f>
        <v>122225.5</v>
      </c>
      <c r="J52" s="147"/>
      <c r="K52" s="243">
        <f>+K17+K34+K39+K50</f>
        <v>16495</v>
      </c>
      <c r="L52" s="147"/>
      <c r="M52" s="243">
        <f>+M17+M34+M39+M50</f>
        <v>123220</v>
      </c>
      <c r="N52" s="147"/>
      <c r="O52" s="243">
        <f>+O17+O34+O39+O50</f>
        <v>6216</v>
      </c>
      <c r="P52" s="147"/>
      <c r="Q52" s="243">
        <f>+Q17+Q34+Q39+Q50</f>
        <v>3765</v>
      </c>
      <c r="R52" s="147"/>
      <c r="S52" s="243">
        <f>+S17+S34+S39+S50</f>
        <v>20733</v>
      </c>
      <c r="T52" s="147"/>
      <c r="U52" s="243">
        <f>+U17+U34</f>
        <v>14136</v>
      </c>
      <c r="V52" s="147"/>
      <c r="W52" s="243">
        <f>+W17+W34+W39+W50</f>
        <v>6105</v>
      </c>
      <c r="X52" s="147"/>
      <c r="Y52" s="243">
        <f>+Y17+Y34+Y39+Y50</f>
        <v>31493</v>
      </c>
      <c r="Z52" s="147"/>
    </row>
    <row r="53" spans="1:27">
      <c r="A53" s="74" t="s">
        <v>266</v>
      </c>
      <c r="C53" s="243">
        <f>C52/12</f>
        <v>1500.0833333333333</v>
      </c>
      <c r="E53" s="243">
        <f>E52/12</f>
        <v>882.25</v>
      </c>
      <c r="G53" s="243">
        <f>G52/12</f>
        <v>121.83333333333333</v>
      </c>
      <c r="I53" s="243">
        <f>I52/12</f>
        <v>10185.458333333334</v>
      </c>
      <c r="K53" s="243">
        <f>K52/12</f>
        <v>1374.5833333333333</v>
      </c>
      <c r="M53" s="243">
        <f>M52/12</f>
        <v>10268.333333333334</v>
      </c>
      <c r="O53" s="243">
        <f>O52/12</f>
        <v>518</v>
      </c>
      <c r="Q53" s="243">
        <f>Q52/12</f>
        <v>313.75</v>
      </c>
      <c r="S53" s="243">
        <f>S52/12</f>
        <v>1727.75</v>
      </c>
      <c r="U53" s="243">
        <f>U52/12</f>
        <v>1178</v>
      </c>
      <c r="W53" s="243">
        <f>W52/12</f>
        <v>508.75</v>
      </c>
      <c r="Y53" s="243">
        <f>Y52/12</f>
        <v>2624.4166666666665</v>
      </c>
    </row>
    <row r="54" spans="1:27">
      <c r="C54" s="73" t="s">
        <v>86</v>
      </c>
      <c r="E54" s="72" t="s">
        <v>92</v>
      </c>
      <c r="G54" s="73" t="s">
        <v>95</v>
      </c>
      <c r="I54" s="73" t="s">
        <v>96</v>
      </c>
      <c r="K54" s="72" t="s">
        <v>118</v>
      </c>
      <c r="M54" s="73" t="s">
        <v>104</v>
      </c>
      <c r="O54" s="73" t="s">
        <v>107</v>
      </c>
      <c r="Q54" s="72" t="s">
        <v>108</v>
      </c>
      <c r="S54" s="73" t="s">
        <v>113</v>
      </c>
      <c r="U54" s="73" t="s">
        <v>119</v>
      </c>
      <c r="W54" s="73" t="s">
        <v>114</v>
      </c>
      <c r="Y54" s="72" t="s">
        <v>115</v>
      </c>
    </row>
  </sheetData>
  <printOptions horizontalCentered="1"/>
  <pageMargins left="0.2" right="0.2" top="0.75" bottom="0.25" header="0.3" footer="0.3"/>
  <pageSetup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3"/>
  <sheetViews>
    <sheetView topLeftCell="S16" zoomScaleNormal="100" workbookViewId="0">
      <selection activeCell="T8" sqref="T8"/>
    </sheetView>
  </sheetViews>
  <sheetFormatPr defaultRowHeight="15"/>
  <cols>
    <col min="1" max="1" width="16.42578125" style="72" customWidth="1"/>
    <col min="2" max="2" width="1.5703125" style="72" customWidth="1"/>
    <col min="3" max="3" width="9" style="72" bestFit="1" customWidth="1"/>
    <col min="4" max="4" width="6" style="72" bestFit="1" customWidth="1"/>
    <col min="5" max="5" width="1.7109375" style="72" customWidth="1"/>
    <col min="6" max="6" width="8.7109375" style="72" bestFit="1" customWidth="1"/>
    <col min="7" max="7" width="5.28515625" style="72" bestFit="1" customWidth="1"/>
    <col min="8" max="8" width="1.7109375" style="72" customWidth="1"/>
    <col min="9" max="9" width="8" style="72" bestFit="1" customWidth="1"/>
    <col min="10" max="10" width="5.85546875" style="72" bestFit="1" customWidth="1"/>
    <col min="11" max="11" width="1.7109375" style="72" customWidth="1"/>
    <col min="12" max="12" width="10.5703125" style="72" bestFit="1" customWidth="1"/>
    <col min="13" max="13" width="5.85546875" style="72" bestFit="1" customWidth="1"/>
    <col min="14" max="14" width="1.7109375" style="72" customWidth="1"/>
    <col min="15" max="15" width="9.5703125" style="72" bestFit="1" customWidth="1"/>
    <col min="16" max="16" width="5.7109375" style="72" bestFit="1" customWidth="1"/>
    <col min="17" max="17" width="1.7109375" style="72" customWidth="1"/>
    <col min="18" max="18" width="10.5703125" style="72" bestFit="1" customWidth="1"/>
    <col min="19" max="19" width="5.7109375" style="72" bestFit="1" customWidth="1"/>
    <col min="20" max="20" width="1.7109375" style="72" customWidth="1"/>
    <col min="21" max="21" width="8" style="72" bestFit="1" customWidth="1"/>
    <col min="22" max="22" width="6.140625" style="72" bestFit="1" customWidth="1"/>
    <col min="23" max="23" width="1.7109375" style="72" customWidth="1"/>
    <col min="24" max="24" width="8" style="72" bestFit="1" customWidth="1"/>
    <col min="25" max="25" width="5.7109375" style="72" bestFit="1" customWidth="1"/>
    <col min="26" max="26" width="1.7109375" style="72" customWidth="1"/>
    <col min="27" max="27" width="10.140625" style="72" bestFit="1" customWidth="1"/>
    <col min="28" max="28" width="5.28515625" style="72" bestFit="1" customWidth="1"/>
    <col min="29" max="29" width="1.7109375" style="72" customWidth="1"/>
    <col min="30" max="30" width="9.85546875" style="72" bestFit="1" customWidth="1"/>
    <col min="31" max="31" width="5.28515625" style="72" bestFit="1" customWidth="1"/>
    <col min="32" max="32" width="1.7109375" style="72" customWidth="1"/>
    <col min="33" max="33" width="8" style="72" bestFit="1" customWidth="1"/>
    <col min="34" max="34" width="5.28515625" style="72" bestFit="1" customWidth="1"/>
    <col min="35" max="35" width="1.7109375" style="72" customWidth="1"/>
    <col min="36" max="36" width="9.140625" style="72"/>
    <col min="37" max="37" width="5.7109375" style="72" bestFit="1" customWidth="1"/>
    <col min="38" max="38" width="1.7109375" style="72" customWidth="1"/>
    <col min="39" max="39" width="11" style="72" customWidth="1"/>
    <col min="40" max="40" width="5.28515625" style="72" bestFit="1" customWidth="1"/>
    <col min="41" max="41" width="12.140625" style="72" customWidth="1"/>
    <col min="42" max="42" width="1.85546875" style="72" customWidth="1"/>
    <col min="43" max="43" width="10.5703125" style="72" bestFit="1" customWidth="1"/>
    <col min="44" max="44" width="10.5703125" style="72" customWidth="1"/>
    <col min="45" max="45" width="9.5703125" style="72" bestFit="1" customWidth="1"/>
    <col min="46" max="46" width="9.140625" style="72"/>
    <col min="47" max="47" width="10.5703125" style="72" bestFit="1" customWidth="1"/>
    <col min="48" max="16384" width="9.140625" style="72"/>
  </cols>
  <sheetData>
    <row r="1" spans="1:47" ht="18.75">
      <c r="A1" s="71" t="s">
        <v>157</v>
      </c>
      <c r="AQ1" s="74" t="str">
        <f>+'Water Rate Design'!$K$1</f>
        <v>Docket No. 160101 -WS</v>
      </c>
      <c r="AR1" s="74"/>
    </row>
    <row r="2" spans="1:47">
      <c r="A2" s="72" t="s">
        <v>135</v>
      </c>
      <c r="AQ2" s="74" t="str">
        <f>+'Water Rate Design'!$K$2</f>
        <v>Exhibit JFG-Rate Design</v>
      </c>
      <c r="AR2" s="74"/>
    </row>
    <row r="3" spans="1:47">
      <c r="I3" s="73"/>
      <c r="U3" s="73"/>
      <c r="AA3" s="73"/>
      <c r="AD3" s="73"/>
      <c r="AQ3" s="74" t="s">
        <v>320</v>
      </c>
      <c r="AR3" s="74"/>
    </row>
    <row r="4" spans="1:47">
      <c r="R4" s="73"/>
      <c r="AA4" s="73"/>
      <c r="AD4" s="73"/>
      <c r="AK4" s="73"/>
    </row>
    <row r="5" spans="1:47">
      <c r="A5" s="72" t="s">
        <v>83</v>
      </c>
      <c r="C5" s="294" t="s">
        <v>134</v>
      </c>
      <c r="D5" s="294"/>
      <c r="F5" s="294" t="s">
        <v>133</v>
      </c>
      <c r="G5" s="294"/>
      <c r="I5" s="294" t="s">
        <v>132</v>
      </c>
      <c r="J5" s="294"/>
      <c r="L5" s="294" t="s">
        <v>131</v>
      </c>
      <c r="M5" s="294"/>
      <c r="O5" s="294" t="s">
        <v>130</v>
      </c>
      <c r="P5" s="294"/>
      <c r="R5" s="294" t="s">
        <v>129</v>
      </c>
      <c r="S5" s="294"/>
      <c r="U5" s="294" t="s">
        <v>128</v>
      </c>
      <c r="V5" s="294"/>
      <c r="X5" s="294" t="s">
        <v>127</v>
      </c>
      <c r="Y5" s="294"/>
      <c r="AA5" s="294" t="s">
        <v>126</v>
      </c>
      <c r="AB5" s="294"/>
      <c r="AD5" s="294" t="s">
        <v>125</v>
      </c>
      <c r="AE5" s="294"/>
      <c r="AG5" s="294" t="s">
        <v>124</v>
      </c>
      <c r="AH5" s="294"/>
      <c r="AJ5" s="294" t="s">
        <v>123</v>
      </c>
      <c r="AK5" s="294"/>
    </row>
    <row r="6" spans="1:47">
      <c r="L6" s="25"/>
      <c r="R6" s="25"/>
      <c r="AG6" s="75"/>
    </row>
    <row r="7" spans="1:47">
      <c r="A7" s="33"/>
      <c r="C7" s="85">
        <v>38244</v>
      </c>
      <c r="D7" s="73" t="s">
        <v>87</v>
      </c>
      <c r="E7" s="73"/>
      <c r="G7" s="73" t="s">
        <v>91</v>
      </c>
      <c r="H7" s="74"/>
      <c r="I7" s="76"/>
      <c r="J7" s="73" t="s">
        <v>91</v>
      </c>
      <c r="K7" s="74"/>
      <c r="L7" s="85">
        <f>493424+488</f>
        <v>493912</v>
      </c>
      <c r="M7" s="73" t="s">
        <v>97</v>
      </c>
      <c r="O7" s="85">
        <f>36756+3015</f>
        <v>39771</v>
      </c>
      <c r="P7" s="73" t="s">
        <v>101</v>
      </c>
      <c r="R7" s="85">
        <f>361403+210440+1077</f>
        <v>572920</v>
      </c>
      <c r="S7" s="73" t="s">
        <v>87</v>
      </c>
      <c r="U7" s="47"/>
      <c r="V7" s="73" t="s">
        <v>91</v>
      </c>
      <c r="X7" s="85">
        <f>15376+25</f>
        <v>15401</v>
      </c>
      <c r="Y7" s="73" t="s">
        <v>87</v>
      </c>
      <c r="AB7" s="73" t="s">
        <v>91</v>
      </c>
      <c r="AC7" s="74"/>
      <c r="AD7" s="47"/>
      <c r="AE7" s="73" t="s">
        <v>91</v>
      </c>
      <c r="AF7" s="74"/>
      <c r="AG7" s="47"/>
      <c r="AH7" s="78" t="s">
        <v>91</v>
      </c>
      <c r="AI7" s="74"/>
      <c r="AJ7" s="85">
        <f>136576+154+617+362+1</f>
        <v>137710</v>
      </c>
      <c r="AK7" s="73" t="s">
        <v>116</v>
      </c>
      <c r="AS7" s="108">
        <v>75</v>
      </c>
      <c r="AT7" s="72" t="s">
        <v>190</v>
      </c>
    </row>
    <row r="8" spans="1:47">
      <c r="A8" s="33"/>
      <c r="C8" s="86">
        <f>+C7/C$15</f>
        <v>0.93917143488617671</v>
      </c>
      <c r="D8" s="73"/>
      <c r="E8" s="73"/>
      <c r="F8" s="76"/>
      <c r="G8" s="73"/>
      <c r="H8" s="74"/>
      <c r="I8" s="76"/>
      <c r="L8" s="86">
        <f>+L7/L$15</f>
        <v>0.39705388193340202</v>
      </c>
      <c r="M8" s="73"/>
      <c r="O8" s="86">
        <f>+O7/O$15</f>
        <v>0.34801974133253993</v>
      </c>
      <c r="P8" s="73"/>
      <c r="R8" s="86">
        <f>+R7/R$15</f>
        <v>0.32164272910139113</v>
      </c>
      <c r="S8" s="73"/>
      <c r="T8" s="74"/>
      <c r="U8" s="47"/>
      <c r="X8" s="86">
        <f>+X7/X$15</f>
        <v>0.737313289927231</v>
      </c>
      <c r="Y8" s="73"/>
      <c r="Z8" s="74"/>
      <c r="AA8" s="47"/>
      <c r="AB8" s="74"/>
      <c r="AC8" s="74"/>
      <c r="AD8" s="47"/>
      <c r="AE8" s="74"/>
      <c r="AF8" s="74"/>
      <c r="AG8" s="47"/>
      <c r="AJ8" s="86">
        <f>+AJ7/AJ$15</f>
        <v>0.82964828359018228</v>
      </c>
      <c r="AK8" s="73"/>
      <c r="AS8" s="108">
        <v>3.5</v>
      </c>
      <c r="AT8" s="72" t="s">
        <v>192</v>
      </c>
    </row>
    <row r="9" spans="1:47">
      <c r="A9" s="33"/>
      <c r="C9" s="85">
        <f>40036-C7</f>
        <v>1792</v>
      </c>
      <c r="D9" s="73" t="s">
        <v>88</v>
      </c>
      <c r="E9" s="73"/>
      <c r="G9" s="73"/>
      <c r="L9" s="85">
        <f>273288+357</f>
        <v>273645</v>
      </c>
      <c r="M9" s="73" t="s">
        <v>98</v>
      </c>
      <c r="O9" s="85">
        <f>24682+2353</f>
        <v>27035</v>
      </c>
      <c r="P9" s="73" t="s">
        <v>102</v>
      </c>
      <c r="R9" s="87">
        <f>644222+413703+2164-R7</f>
        <v>487169</v>
      </c>
      <c r="S9" s="73" t="s">
        <v>105</v>
      </c>
      <c r="X9" s="85">
        <v>1857</v>
      </c>
      <c r="Y9" s="73" t="s">
        <v>109</v>
      </c>
      <c r="AJ9" s="85">
        <f>18900+172+302</f>
        <v>19374</v>
      </c>
      <c r="AK9" s="73" t="s">
        <v>110</v>
      </c>
      <c r="AS9" s="108">
        <v>365</v>
      </c>
      <c r="AT9" s="72" t="s">
        <v>191</v>
      </c>
    </row>
    <row r="10" spans="1:47">
      <c r="A10" s="33"/>
      <c r="C10" s="86">
        <f>(+C7+C9)/C$15</f>
        <v>0.98317821271579775</v>
      </c>
      <c r="D10" s="73"/>
      <c r="E10" s="73"/>
      <c r="G10" s="73"/>
      <c r="L10" s="86">
        <f>(+L7+L9)/L$15</f>
        <v>0.61703600328632691</v>
      </c>
      <c r="M10" s="73"/>
      <c r="O10" s="86">
        <f>(+O7+O9)/O$15</f>
        <v>0.58459195995729707</v>
      </c>
      <c r="P10" s="73"/>
      <c r="R10" s="86">
        <f>(+R7+R9)/R$15</f>
        <v>0.59514403241353875</v>
      </c>
      <c r="S10" s="73"/>
      <c r="X10" s="86">
        <f>(+X7+X9)/X$15</f>
        <v>0.82621600919188054</v>
      </c>
      <c r="Y10" s="73"/>
      <c r="AJ10" s="86">
        <f>(+AJ7+AJ9)/AJ$15</f>
        <v>0.94636897087706195</v>
      </c>
      <c r="AK10" s="73"/>
      <c r="AS10" s="108">
        <f>+AS7*AS8*AS9</f>
        <v>95812.5</v>
      </c>
      <c r="AT10" s="72" t="s">
        <v>194</v>
      </c>
    </row>
    <row r="11" spans="1:47">
      <c r="A11" s="33"/>
      <c r="C11" s="85">
        <f>40721-40036</f>
        <v>685</v>
      </c>
      <c r="D11" s="89" t="s">
        <v>89</v>
      </c>
      <c r="E11" s="89"/>
      <c r="G11" s="73"/>
      <c r="L11" s="85">
        <f>472878+3507</f>
        <v>476385</v>
      </c>
      <c r="M11" s="89" t="s">
        <v>99</v>
      </c>
      <c r="O11" s="85">
        <f>26091+2854</f>
        <v>28945</v>
      </c>
      <c r="P11" s="73" t="s">
        <v>88</v>
      </c>
      <c r="R11" s="87">
        <f>952589+821097+7545-R9-R7</f>
        <v>721142</v>
      </c>
      <c r="S11" s="89" t="s">
        <v>106</v>
      </c>
      <c r="X11" s="85">
        <v>2355</v>
      </c>
      <c r="Y11" s="73" t="s">
        <v>110</v>
      </c>
      <c r="AJ11" s="85">
        <f>8735+5+161+1</f>
        <v>8902</v>
      </c>
      <c r="AK11" s="89" t="s">
        <v>111</v>
      </c>
      <c r="AS11" s="108">
        <f>+AS10/12</f>
        <v>7984.375</v>
      </c>
      <c r="AT11" s="72" t="s">
        <v>193</v>
      </c>
    </row>
    <row r="12" spans="1:47">
      <c r="A12" s="33"/>
      <c r="C12" s="86">
        <v>1</v>
      </c>
      <c r="D12" s="89"/>
      <c r="E12" s="89"/>
      <c r="G12" s="73"/>
      <c r="J12" s="77"/>
      <c r="K12" s="77"/>
      <c r="L12" s="86">
        <v>1</v>
      </c>
      <c r="O12" s="86">
        <f>(O7+O9+O11)/O$15</f>
        <v>0.83787780675195578</v>
      </c>
      <c r="P12" s="73"/>
      <c r="R12" s="86">
        <f>(R7+R9+R11)/R$15</f>
        <v>1</v>
      </c>
      <c r="S12" s="89"/>
      <c r="X12" s="86">
        <f>(X7+X9+X11)/X$15</f>
        <v>0.93896016851780928</v>
      </c>
      <c r="Y12" s="73"/>
      <c r="AH12" s="77"/>
      <c r="AI12" s="77"/>
      <c r="AJ12" s="86">
        <v>1</v>
      </c>
    </row>
    <row r="13" spans="1:47">
      <c r="B13" s="74"/>
      <c r="G13" s="73"/>
      <c r="O13" s="85">
        <f>16198+2329</f>
        <v>18527</v>
      </c>
      <c r="P13" s="89" t="s">
        <v>89</v>
      </c>
      <c r="X13" s="85">
        <v>1275</v>
      </c>
      <c r="Y13" s="89" t="s">
        <v>111</v>
      </c>
    </row>
    <row r="14" spans="1:47">
      <c r="B14" s="74"/>
      <c r="G14" s="73"/>
      <c r="O14" s="86">
        <v>1</v>
      </c>
      <c r="P14" s="89"/>
      <c r="X14" s="86">
        <v>1</v>
      </c>
      <c r="Y14" s="89"/>
    </row>
    <row r="15" spans="1:47">
      <c r="B15" s="74"/>
      <c r="C15" s="276">
        <f>+C7+C9+C11+C13</f>
        <v>40721</v>
      </c>
      <c r="D15" s="275"/>
      <c r="E15" s="275"/>
      <c r="F15" s="276">
        <v>13584</v>
      </c>
      <c r="G15" s="85"/>
      <c r="H15" s="85"/>
      <c r="I15" s="276">
        <v>2078</v>
      </c>
      <c r="J15" s="85"/>
      <c r="K15" s="85"/>
      <c r="L15" s="276">
        <f>+L7+L9+L11+L13</f>
        <v>1243942</v>
      </c>
      <c r="M15" s="85"/>
      <c r="N15" s="85"/>
      <c r="O15" s="276">
        <f>+O7+O9+O11+O13</f>
        <v>114278</v>
      </c>
      <c r="P15" s="85"/>
      <c r="Q15" s="85"/>
      <c r="R15" s="276">
        <f>+R7+R9+R11+R13</f>
        <v>1781231</v>
      </c>
      <c r="S15" s="85"/>
      <c r="T15" s="85"/>
      <c r="U15" s="276">
        <f>41296-1*0</f>
        <v>41296</v>
      </c>
      <c r="V15" s="85"/>
      <c r="W15" s="85"/>
      <c r="X15" s="276">
        <f>+X7+X9+X11+X13</f>
        <v>20888</v>
      </c>
      <c r="Y15" s="85"/>
      <c r="Z15" s="85"/>
      <c r="AA15" s="276">
        <v>55194</v>
      </c>
      <c r="AB15" s="85"/>
      <c r="AC15" s="85"/>
      <c r="AD15" s="276">
        <f>26380-1*0</f>
        <v>26380</v>
      </c>
      <c r="AE15" s="85"/>
      <c r="AF15" s="85"/>
      <c r="AG15" s="276">
        <v>11367</v>
      </c>
      <c r="AH15" s="85"/>
      <c r="AI15" s="85"/>
      <c r="AJ15" s="276">
        <f>+AJ7+AJ9+AJ11+AJ13</f>
        <v>165986</v>
      </c>
      <c r="AK15" s="85"/>
      <c r="AU15" s="87">
        <f>SUM(C15:AJ15)</f>
        <v>3516945</v>
      </c>
    </row>
    <row r="16" spans="1:47">
      <c r="B16" s="74"/>
      <c r="C16" s="84"/>
      <c r="D16" s="275"/>
      <c r="E16" s="275"/>
      <c r="F16" s="275"/>
      <c r="G16" s="277"/>
      <c r="H16" s="275"/>
      <c r="I16" s="275"/>
      <c r="J16" s="275"/>
      <c r="K16" s="275"/>
      <c r="L16" s="275"/>
      <c r="M16" s="278"/>
      <c r="N16" s="278"/>
      <c r="O16" s="76"/>
      <c r="P16" s="76"/>
      <c r="Q16" s="275"/>
      <c r="R16" s="275"/>
      <c r="S16" s="275"/>
      <c r="T16" s="275"/>
      <c r="U16" s="275"/>
      <c r="V16" s="278"/>
      <c r="W16" s="278"/>
      <c r="X16" s="76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</row>
    <row r="17" spans="1:51">
      <c r="B17" s="74"/>
      <c r="C17" s="275"/>
      <c r="D17" s="275"/>
      <c r="E17" s="275"/>
      <c r="F17" s="275"/>
      <c r="G17" s="277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  <c r="AJ17" s="275"/>
    </row>
    <row r="18" spans="1:51">
      <c r="A18" s="72" t="s">
        <v>84</v>
      </c>
      <c r="B18" s="74"/>
      <c r="C18" s="85">
        <v>3877</v>
      </c>
      <c r="D18" s="85"/>
      <c r="E18" s="85"/>
      <c r="F18" s="85">
        <v>3628</v>
      </c>
      <c r="G18" s="85"/>
      <c r="H18" s="85"/>
      <c r="I18" s="85">
        <v>2535</v>
      </c>
      <c r="J18" s="85"/>
      <c r="K18" s="85"/>
      <c r="L18" s="85">
        <v>79017</v>
      </c>
      <c r="M18" s="85"/>
      <c r="N18" s="85"/>
      <c r="O18" s="85">
        <v>15824</v>
      </c>
      <c r="P18" s="85"/>
      <c r="Q18" s="85"/>
      <c r="R18" s="85">
        <f>433577*0+438286</f>
        <v>438286</v>
      </c>
      <c r="S18" s="85"/>
      <c r="T18" s="85"/>
      <c r="U18" s="85">
        <v>6875</v>
      </c>
      <c r="V18" s="85"/>
      <c r="W18" s="85"/>
      <c r="X18" s="85">
        <v>304</v>
      </c>
      <c r="Y18" s="85"/>
      <c r="Z18" s="85"/>
      <c r="AA18" s="85">
        <v>5826</v>
      </c>
      <c r="AB18" s="85"/>
      <c r="AC18" s="85"/>
      <c r="AD18" s="85">
        <v>980</v>
      </c>
      <c r="AE18" s="85"/>
      <c r="AF18" s="85"/>
      <c r="AG18" s="85">
        <v>1502</v>
      </c>
      <c r="AH18" s="85"/>
      <c r="AI18" s="85"/>
      <c r="AJ18" s="85">
        <v>4936</v>
      </c>
      <c r="AK18" s="85"/>
      <c r="AL18" s="85"/>
      <c r="AM18" s="85"/>
      <c r="AN18" s="85"/>
      <c r="AO18" s="85"/>
      <c r="AP18" s="85"/>
      <c r="AU18" s="87">
        <f>SUM(C18:AJ18)</f>
        <v>563590</v>
      </c>
    </row>
    <row r="19" spans="1:51">
      <c r="B19" s="74"/>
      <c r="G19" s="73"/>
    </row>
    <row r="20" spans="1:51">
      <c r="A20" s="74" t="s">
        <v>195</v>
      </c>
      <c r="B20" s="74"/>
      <c r="L20" s="73"/>
      <c r="O20" s="117"/>
      <c r="AO20" s="73" t="s">
        <v>104</v>
      </c>
    </row>
    <row r="21" spans="1:51">
      <c r="A21" s="72" t="s">
        <v>176</v>
      </c>
      <c r="B21" s="74"/>
      <c r="C21" s="294" t="s">
        <v>134</v>
      </c>
      <c r="D21" s="294"/>
      <c r="F21" s="294" t="s">
        <v>133</v>
      </c>
      <c r="G21" s="294"/>
      <c r="I21" s="294" t="s">
        <v>132</v>
      </c>
      <c r="J21" s="294"/>
      <c r="L21" s="294" t="s">
        <v>131</v>
      </c>
      <c r="M21" s="294"/>
      <c r="O21" s="294" t="s">
        <v>130</v>
      </c>
      <c r="P21" s="294"/>
      <c r="R21" s="294" t="s">
        <v>129</v>
      </c>
      <c r="S21" s="294"/>
      <c r="U21" s="294" t="s">
        <v>128</v>
      </c>
      <c r="V21" s="294"/>
      <c r="X21" s="294" t="s">
        <v>127</v>
      </c>
      <c r="Y21" s="294"/>
      <c r="AA21" s="294" t="s">
        <v>126</v>
      </c>
      <c r="AB21" s="294"/>
      <c r="AD21" s="294" t="s">
        <v>125</v>
      </c>
      <c r="AE21" s="294"/>
      <c r="AG21" s="294" t="s">
        <v>124</v>
      </c>
      <c r="AH21" s="294"/>
      <c r="AJ21" s="294" t="s">
        <v>123</v>
      </c>
      <c r="AK21" s="294"/>
      <c r="AM21" s="73" t="s">
        <v>327</v>
      </c>
      <c r="AO21" s="248" t="s">
        <v>303</v>
      </c>
      <c r="AQ21" s="248" t="s">
        <v>304</v>
      </c>
      <c r="AR21" s="272"/>
    </row>
    <row r="22" spans="1:51">
      <c r="A22" s="74" t="s">
        <v>116</v>
      </c>
      <c r="B22" s="74"/>
      <c r="C22" s="85">
        <v>39254</v>
      </c>
      <c r="D22" s="153">
        <f>+C22/C$25</f>
        <v>0.96397436212273768</v>
      </c>
      <c r="F22" s="85">
        <v>13444</v>
      </c>
      <c r="G22" s="153">
        <f>+F22/F$25</f>
        <v>0.98969375736160192</v>
      </c>
      <c r="I22" s="85">
        <v>2060</v>
      </c>
      <c r="J22" s="153">
        <f>+I22/I$25</f>
        <v>0.99133782483156885</v>
      </c>
      <c r="L22" s="85">
        <v>675727</v>
      </c>
      <c r="M22" s="153">
        <f>+L22/L$25</f>
        <v>0.54321423346104558</v>
      </c>
      <c r="O22" s="85">
        <f>72993+6564</f>
        <v>79557</v>
      </c>
      <c r="P22" s="153">
        <f>+O22/O$25</f>
        <v>0.69617074152505298</v>
      </c>
      <c r="R22" s="85">
        <v>707849</v>
      </c>
      <c r="S22" s="153">
        <f>+R22/R$25</f>
        <v>0.39739315114098062</v>
      </c>
      <c r="T22" s="82"/>
      <c r="U22" s="85">
        <f>2488+20690</f>
        <v>23178</v>
      </c>
      <c r="V22" s="153">
        <f>+U22/U$25</f>
        <v>0.56126501356063541</v>
      </c>
      <c r="X22" s="85">
        <f>17233+25</f>
        <v>17258</v>
      </c>
      <c r="Y22" s="153">
        <f>+X22/X$25</f>
        <v>0.82621600919188054</v>
      </c>
      <c r="AA22" s="85">
        <f>49398+147</f>
        <v>49545</v>
      </c>
      <c r="AB22" s="153">
        <f>+AA22/AA$25</f>
        <v>0.89765191868681382</v>
      </c>
      <c r="AD22" s="85">
        <f>25587</f>
        <v>25587</v>
      </c>
      <c r="AE22" s="153">
        <f>+AD22/AD$25</f>
        <v>0.9699393479909022</v>
      </c>
      <c r="AG22" s="85">
        <f>10665+167</f>
        <v>10832</v>
      </c>
      <c r="AH22" s="153">
        <f>+AG22/AG$25</f>
        <v>0.95293393155625938</v>
      </c>
      <c r="AJ22" s="85">
        <f>136576+423+154+617</f>
        <v>137770</v>
      </c>
      <c r="AK22" s="153">
        <f>+AJ22/AJ$25</f>
        <v>0.83000975985926528</v>
      </c>
      <c r="AM22" s="87">
        <f>+C22+F22+I22+L22+O22+R22+U22+X22+AA22+AD22+AG22+AJ22</f>
        <v>1782061</v>
      </c>
      <c r="AN22" s="153">
        <f>+AM22/AM$25</f>
        <v>0.50670709948549097</v>
      </c>
      <c r="AO22" s="85">
        <f>-'RepressionWP-Sanlando'!G30</f>
        <v>0</v>
      </c>
      <c r="AQ22" s="87">
        <f>+AM22+AO22</f>
        <v>1782061</v>
      </c>
      <c r="AR22" s="87"/>
      <c r="AS22" s="153">
        <f>+AQ22/AQ$25</f>
        <v>0.53853579366227489</v>
      </c>
      <c r="AU22" s="87"/>
      <c r="AV22" s="87"/>
      <c r="AW22" s="87"/>
    </row>
    <row r="23" spans="1:51">
      <c r="A23" s="74" t="s">
        <v>110</v>
      </c>
      <c r="B23" s="74"/>
      <c r="C23" s="85">
        <f>40334-C22</f>
        <v>1080</v>
      </c>
      <c r="D23" s="153">
        <f>+C23/C$25</f>
        <v>2.6521941995530561E-2</v>
      </c>
      <c r="F23" s="85">
        <f>13498-F22</f>
        <v>54</v>
      </c>
      <c r="G23" s="153">
        <f>+F23/F$25</f>
        <v>3.9752650176678441E-3</v>
      </c>
      <c r="I23" s="85">
        <f>2078-I22</f>
        <v>18</v>
      </c>
      <c r="J23" s="153">
        <f>+I23/I$25</f>
        <v>8.6621751684311833E-3</v>
      </c>
      <c r="L23" s="85">
        <f>960565-L22</f>
        <v>284838</v>
      </c>
      <c r="M23" s="153">
        <f>+L23/L$25</f>
        <v>0.2289801292986329</v>
      </c>
      <c r="N23" s="81"/>
      <c r="O23" s="85">
        <f>94886+9225-O22</f>
        <v>24554</v>
      </c>
      <c r="P23" s="153">
        <f>+O23/O$25</f>
        <v>0.21486200318521501</v>
      </c>
      <c r="R23" s="85">
        <f>1099606-R22</f>
        <v>391757</v>
      </c>
      <c r="S23" s="153">
        <f>+R23/R$25</f>
        <v>0.21993610037103553</v>
      </c>
      <c r="T23" s="82"/>
      <c r="U23" s="85">
        <f>2658+27820-U22</f>
        <v>7300</v>
      </c>
      <c r="V23" s="153">
        <f>+U23/U$25</f>
        <v>0.17677256877179387</v>
      </c>
      <c r="X23" s="85">
        <f>19588+25-X22</f>
        <v>2355</v>
      </c>
      <c r="Y23" s="153">
        <f>+X23/X$25</f>
        <v>0.11274415932592877</v>
      </c>
      <c r="AA23" s="85">
        <f>52518+243-AA22</f>
        <v>3216</v>
      </c>
      <c r="AB23" s="153">
        <f>+AA23/AA$25</f>
        <v>5.8267202956843137E-2</v>
      </c>
      <c r="AD23" s="85">
        <f>25963-AD22</f>
        <v>376</v>
      </c>
      <c r="AE23" s="153">
        <f>+AD23/AD$25</f>
        <v>1.425322213798332E-2</v>
      </c>
      <c r="AG23" s="85">
        <f>10922+167-AG22</f>
        <v>257</v>
      </c>
      <c r="AH23" s="153">
        <f>+AG23/AG$25</f>
        <v>2.2609307644937099E-2</v>
      </c>
      <c r="AJ23" s="85">
        <f>155476+534+154+919-AJ22</f>
        <v>19313</v>
      </c>
      <c r="AK23" s="153">
        <f>+AJ23/AJ$25</f>
        <v>0.11635318641331197</v>
      </c>
      <c r="AM23" s="87">
        <f>+C23+F23+I23+L23+O23+R23+U23+X23+AA23+AD23+AG23+AJ23</f>
        <v>735118</v>
      </c>
      <c r="AN23" s="153">
        <f>+AM23/AM$25</f>
        <v>0.20902175041122337</v>
      </c>
      <c r="AO23" s="85">
        <f>-'RepressionWP-Sanlando'!G31</f>
        <v>-95202.293029390145</v>
      </c>
      <c r="AQ23" s="87">
        <f>+AM23+AO23</f>
        <v>639915.70697060984</v>
      </c>
      <c r="AR23" s="87"/>
      <c r="AS23" s="153">
        <f>+AQ23/AQ$25</f>
        <v>0.19338143482763673</v>
      </c>
      <c r="AU23" s="87"/>
      <c r="AV23" s="87"/>
      <c r="AW23" s="87"/>
      <c r="AY23" s="87"/>
    </row>
    <row r="24" spans="1:51">
      <c r="A24" s="77" t="s">
        <v>111</v>
      </c>
      <c r="B24" s="74"/>
      <c r="C24" s="85">
        <f>40721-C23-C22</f>
        <v>387</v>
      </c>
      <c r="D24" s="153">
        <f>+C24/C$25</f>
        <v>9.5036958817317843E-3</v>
      </c>
      <c r="F24" s="85">
        <f>13584-F23-F22</f>
        <v>86</v>
      </c>
      <c r="G24" s="153">
        <f>+F24/F$25</f>
        <v>6.3309776207302708E-3</v>
      </c>
      <c r="I24" s="85">
        <v>0</v>
      </c>
      <c r="J24" s="153">
        <f>+I24/I$25</f>
        <v>0</v>
      </c>
      <c r="L24" s="85">
        <f>1243942-L23-L22</f>
        <v>283377</v>
      </c>
      <c r="M24" s="153">
        <f>+L24/L$25</f>
        <v>0.22780563724032149</v>
      </c>
      <c r="N24" s="81"/>
      <c r="O24" s="85">
        <f>103727+10551-O23-O22</f>
        <v>10167</v>
      </c>
      <c r="P24" s="153">
        <f>+O24/O$25</f>
        <v>8.8967255289732053E-2</v>
      </c>
      <c r="R24" s="85">
        <f>1781231-R23-R22</f>
        <v>681625</v>
      </c>
      <c r="S24" s="153">
        <f>+R24/R$25</f>
        <v>0.38267074848798388</v>
      </c>
      <c r="T24" s="82"/>
      <c r="U24" s="85">
        <f>2935+38360-U23-U22+1</f>
        <v>10818</v>
      </c>
      <c r="V24" s="153">
        <f>+U24/U$25</f>
        <v>0.26196241766757072</v>
      </c>
      <c r="X24" s="85">
        <f>20863+25-X23-X22</f>
        <v>1275</v>
      </c>
      <c r="Y24" s="153">
        <f>+X24/X$25</f>
        <v>6.1039831482190735E-2</v>
      </c>
      <c r="AA24" s="85">
        <f>54808+386-AA23-AA22</f>
        <v>2433</v>
      </c>
      <c r="AB24" s="153">
        <f>+AA24/AA$25</f>
        <v>4.4080878356343084E-2</v>
      </c>
      <c r="AD24" s="85">
        <f>26379-AD23-AD22+1</f>
        <v>417</v>
      </c>
      <c r="AE24" s="153">
        <f>+AD24/AD$25</f>
        <v>1.580742987111448E-2</v>
      </c>
      <c r="AG24" s="85">
        <f>11200+167-AG23-AG22</f>
        <v>278</v>
      </c>
      <c r="AH24" s="153">
        <f>+AG24/AG$25</f>
        <v>2.4456760798803556E-2</v>
      </c>
      <c r="AJ24" s="85">
        <f>164211+539+154+1080-AJ23-AJ22+2</f>
        <v>8903</v>
      </c>
      <c r="AK24" s="153">
        <f>+AJ24/AJ$25</f>
        <v>5.3637053727422793E-2</v>
      </c>
      <c r="AM24" s="87">
        <f>+C24+F24+I24+L24+O24+R24+U24+X24+AA24+AD24+AG24+AJ24</f>
        <v>999766</v>
      </c>
      <c r="AN24" s="153">
        <f>+AM24/AM$25</f>
        <v>0.28427115010328569</v>
      </c>
      <c r="AO24" s="85">
        <f>-'RepressionWP-Sanlando'!G32</f>
        <v>-112657.1810462897</v>
      </c>
      <c r="AQ24" s="87">
        <f>+AM24+AO24</f>
        <v>887108.81895371026</v>
      </c>
      <c r="AR24" s="87"/>
      <c r="AS24" s="153">
        <f>+AQ24/AQ$25</f>
        <v>0.26808277151008841</v>
      </c>
      <c r="AU24" s="87"/>
      <c r="AV24" s="87"/>
      <c r="AW24" s="87"/>
    </row>
    <row r="25" spans="1:51">
      <c r="A25" s="74"/>
      <c r="C25" s="152">
        <f>SUM(C22:C24)</f>
        <v>40721</v>
      </c>
      <c r="F25" s="152">
        <f>SUM(F22:F24)</f>
        <v>13584</v>
      </c>
      <c r="I25" s="152">
        <f>SUM(I22:I24)</f>
        <v>2078</v>
      </c>
      <c r="L25" s="152">
        <f>SUM(L22:L24)</f>
        <v>1243942</v>
      </c>
      <c r="N25" s="81"/>
      <c r="O25" s="152">
        <f>SUM(O22:O24)</f>
        <v>114278</v>
      </c>
      <c r="R25" s="152">
        <f>SUM(R22:R24)</f>
        <v>1781231</v>
      </c>
      <c r="T25" s="82"/>
      <c r="U25" s="152">
        <f>SUM(U22:U24)</f>
        <v>41296</v>
      </c>
      <c r="X25" s="152">
        <f>SUM(X22:X24)</f>
        <v>20888</v>
      </c>
      <c r="AA25" s="152">
        <f>SUM(AA22:AA24)</f>
        <v>55194</v>
      </c>
      <c r="AD25" s="152">
        <f>SUM(AD22:AD24)</f>
        <v>26380</v>
      </c>
      <c r="AG25" s="152">
        <f>SUM(AG22:AG24)</f>
        <v>11367</v>
      </c>
      <c r="AJ25" s="152">
        <f>SUM(AJ22:AJ24)</f>
        <v>165986</v>
      </c>
      <c r="AM25" s="152">
        <f>SUM(AM22:AM24)</f>
        <v>3516945</v>
      </c>
      <c r="AO25" s="152">
        <f>SUM(AO22:AO24)</f>
        <v>-207859.47407567984</v>
      </c>
      <c r="AQ25" s="152">
        <f>SUM(AQ22:AQ24)</f>
        <v>3309085.5259243199</v>
      </c>
      <c r="AR25" s="273"/>
      <c r="AU25" s="87"/>
      <c r="AV25" s="87"/>
      <c r="AW25" s="87"/>
    </row>
    <row r="26" spans="1:51">
      <c r="A26" s="74"/>
      <c r="L26" s="47"/>
      <c r="M26" s="81"/>
      <c r="N26" s="81"/>
    </row>
    <row r="27" spans="1:51">
      <c r="A27" s="78" t="s">
        <v>93</v>
      </c>
      <c r="L27" s="47"/>
      <c r="M27" s="81"/>
      <c r="N27" s="81"/>
      <c r="O27" s="73" t="s">
        <v>198</v>
      </c>
      <c r="AJ27" s="73" t="s">
        <v>198</v>
      </c>
    </row>
    <row r="28" spans="1:51">
      <c r="A28" s="74" t="s">
        <v>116</v>
      </c>
      <c r="O28" s="85">
        <v>6564</v>
      </c>
      <c r="AJ28" s="85">
        <f>154+617</f>
        <v>771</v>
      </c>
    </row>
    <row r="29" spans="1:51">
      <c r="A29" s="74" t="s">
        <v>110</v>
      </c>
      <c r="O29" s="85">
        <f>9225-O28</f>
        <v>2661</v>
      </c>
      <c r="AJ29" s="85">
        <f>154+919-AJ28</f>
        <v>302</v>
      </c>
    </row>
    <row r="30" spans="1:51">
      <c r="A30" s="77" t="s">
        <v>111</v>
      </c>
      <c r="O30" s="85">
        <f>10551-O29-O28</f>
        <v>1326</v>
      </c>
      <c r="AJ30" s="85">
        <f>154+1080-AJ29-AJ28</f>
        <v>161</v>
      </c>
    </row>
    <row r="31" spans="1:51">
      <c r="O31" s="152">
        <f>SUM(O28:O30)</f>
        <v>10551</v>
      </c>
      <c r="AJ31" s="152">
        <f>SUM(AJ28:AJ30)</f>
        <v>1234</v>
      </c>
    </row>
    <row r="32" spans="1:51">
      <c r="O32" s="73" t="s">
        <v>196</v>
      </c>
      <c r="AJ32" s="73" t="s">
        <v>196</v>
      </c>
    </row>
    <row r="33" spans="15:36">
      <c r="O33" s="73" t="s">
        <v>197</v>
      </c>
      <c r="AJ33" s="73" t="s">
        <v>197</v>
      </c>
    </row>
  </sheetData>
  <mergeCells count="24">
    <mergeCell ref="AG21:AH21"/>
    <mergeCell ref="AJ21:AK21"/>
    <mergeCell ref="R21:S21"/>
    <mergeCell ref="U21:V21"/>
    <mergeCell ref="X21:Y21"/>
    <mergeCell ref="AA21:AB21"/>
    <mergeCell ref="AD21:AE21"/>
    <mergeCell ref="C21:D21"/>
    <mergeCell ref="F21:G21"/>
    <mergeCell ref="I21:J21"/>
    <mergeCell ref="L21:M21"/>
    <mergeCell ref="O21:P21"/>
    <mergeCell ref="AJ5:AK5"/>
    <mergeCell ref="AG5:AH5"/>
    <mergeCell ref="AD5:AE5"/>
    <mergeCell ref="AA5:AB5"/>
    <mergeCell ref="X5:Y5"/>
    <mergeCell ref="C5:D5"/>
    <mergeCell ref="U5:V5"/>
    <mergeCell ref="R5:S5"/>
    <mergeCell ref="O5:P5"/>
    <mergeCell ref="L5:M5"/>
    <mergeCell ref="I5:J5"/>
    <mergeCell ref="F5:G5"/>
  </mergeCells>
  <printOptions horizontalCentered="1"/>
  <pageMargins left="0.2" right="0.2" top="0.75" bottom="0.25" header="0.3" footer="0.3"/>
  <pageSetup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8"/>
  <sheetViews>
    <sheetView zoomScaleNormal="100" workbookViewId="0">
      <selection activeCell="T8" sqref="T8"/>
    </sheetView>
  </sheetViews>
  <sheetFormatPr defaultRowHeight="15"/>
  <cols>
    <col min="1" max="1" width="16.42578125" style="72" customWidth="1"/>
    <col min="2" max="2" width="1.7109375" style="72" customWidth="1"/>
    <col min="3" max="3" width="7.85546875" style="72" bestFit="1" customWidth="1"/>
    <col min="4" max="4" width="5" style="72" bestFit="1" customWidth="1"/>
    <col min="5" max="5" width="8.7109375" style="72" bestFit="1" customWidth="1"/>
    <col min="6" max="6" width="1.7109375" style="72" customWidth="1"/>
    <col min="7" max="7" width="6.28515625" style="72" bestFit="1" customWidth="1"/>
    <col min="8" max="8" width="1.7109375" style="72" customWidth="1"/>
    <col min="9" max="9" width="9.140625" style="72"/>
    <col min="10" max="10" width="5" style="72" bestFit="1" customWidth="1"/>
    <col min="11" max="11" width="9.5703125" style="72" bestFit="1" customWidth="1"/>
    <col min="12" max="12" width="5" style="72" bestFit="1" customWidth="1"/>
    <col min="13" max="13" width="9.140625" style="72"/>
    <col min="14" max="14" width="5" style="72" bestFit="1" customWidth="1"/>
    <col min="15" max="15" width="7.28515625" style="72" bestFit="1" customWidth="1"/>
    <col min="16" max="16" width="1.7109375" style="72" customWidth="1"/>
    <col min="17" max="17" width="7.42578125" style="72" bestFit="1" customWidth="1"/>
    <col min="18" max="18" width="5" style="72" bestFit="1" customWidth="1"/>
    <col min="19" max="19" width="10.140625" style="72" bestFit="1" customWidth="1"/>
    <col min="20" max="20" width="1.7109375" style="72" customWidth="1"/>
    <col min="21" max="21" width="9.85546875" style="72" bestFit="1" customWidth="1"/>
    <col min="22" max="22" width="1.7109375" style="72" customWidth="1"/>
    <col min="23" max="23" width="8" style="72" bestFit="1" customWidth="1"/>
    <col min="24" max="24" width="1.7109375" style="72" customWidth="1"/>
    <col min="25" max="25" width="9.140625" style="72"/>
    <col min="26" max="26" width="5" style="72" bestFit="1" customWidth="1"/>
    <col min="27" max="27" width="1.7109375" style="72" customWidth="1"/>
    <col min="28" max="16384" width="9.140625" style="72"/>
  </cols>
  <sheetData>
    <row r="1" spans="1:32" ht="18.75">
      <c r="A1" s="71" t="s">
        <v>157</v>
      </c>
      <c r="Z1" s="74" t="str">
        <f>+'Water Rate Design'!$K$1</f>
        <v>Docket No. 160101 -WS</v>
      </c>
    </row>
    <row r="2" spans="1:32">
      <c r="A2" s="72" t="s">
        <v>117</v>
      </c>
      <c r="Z2" s="74" t="str">
        <f>+'Water Rate Design'!$K$2</f>
        <v>Exhibit JFG-Rate Design</v>
      </c>
    </row>
    <row r="3" spans="1:32">
      <c r="Z3" s="74" t="s">
        <v>321</v>
      </c>
    </row>
    <row r="4" spans="1:32">
      <c r="G4" s="73" t="s">
        <v>94</v>
      </c>
      <c r="O4" s="73"/>
      <c r="S4" s="73" t="s">
        <v>112</v>
      </c>
      <c r="U4" s="73" t="s">
        <v>112</v>
      </c>
    </row>
    <row r="5" spans="1:32">
      <c r="A5" s="72" t="s">
        <v>83</v>
      </c>
      <c r="C5" s="73" t="s">
        <v>86</v>
      </c>
      <c r="E5" s="72" t="s">
        <v>92</v>
      </c>
      <c r="G5" s="73" t="s">
        <v>95</v>
      </c>
      <c r="I5" s="73" t="s">
        <v>96</v>
      </c>
      <c r="K5" s="72" t="s">
        <v>118</v>
      </c>
      <c r="M5" s="73" t="s">
        <v>104</v>
      </c>
      <c r="O5" s="73" t="s">
        <v>107</v>
      </c>
      <c r="Q5" s="72" t="s">
        <v>108</v>
      </c>
      <c r="S5" s="73" t="s">
        <v>113</v>
      </c>
      <c r="U5" s="73" t="s">
        <v>119</v>
      </c>
      <c r="W5" s="73" t="s">
        <v>114</v>
      </c>
      <c r="Y5" s="72" t="s">
        <v>115</v>
      </c>
    </row>
    <row r="6" spans="1:32">
      <c r="A6" s="74" t="s">
        <v>85</v>
      </c>
      <c r="C6" s="83">
        <v>1</v>
      </c>
      <c r="E6" s="83">
        <f>+C6+1</f>
        <v>2</v>
      </c>
      <c r="G6" s="83">
        <f>+E6+1</f>
        <v>3</v>
      </c>
      <c r="I6" s="83">
        <f>+G6+1</f>
        <v>4</v>
      </c>
      <c r="K6" s="83">
        <f>+I6+1</f>
        <v>5</v>
      </c>
      <c r="M6" s="83">
        <f>+K6+1</f>
        <v>6</v>
      </c>
      <c r="O6" s="83">
        <f>+M6+1</f>
        <v>7</v>
      </c>
      <c r="Q6" s="83">
        <f>+O6+1</f>
        <v>8</v>
      </c>
      <c r="S6" s="83">
        <f>+Q6+1</f>
        <v>9</v>
      </c>
      <c r="U6" s="83">
        <f>+S6+1</f>
        <v>10</v>
      </c>
      <c r="W6" s="83">
        <f>+U6+1</f>
        <v>11</v>
      </c>
      <c r="Y6" s="83">
        <f>+W6+1</f>
        <v>12</v>
      </c>
      <c r="AB6" s="73" t="s">
        <v>138</v>
      </c>
      <c r="AD6" s="73" t="s">
        <v>139</v>
      </c>
    </row>
    <row r="7" spans="1:32">
      <c r="A7" s="74" t="s">
        <v>81</v>
      </c>
      <c r="C7" s="26">
        <v>7.04</v>
      </c>
      <c r="D7" s="80"/>
      <c r="E7" s="26">
        <v>13.76</v>
      </c>
      <c r="F7" s="79"/>
      <c r="G7" s="26">
        <v>15.94</v>
      </c>
      <c r="H7" s="79"/>
      <c r="I7" s="47">
        <v>9.61</v>
      </c>
      <c r="J7" s="79"/>
      <c r="K7" s="26">
        <v>5.09</v>
      </c>
      <c r="L7" s="79"/>
      <c r="M7" s="47">
        <v>4.49</v>
      </c>
      <c r="N7" s="79"/>
      <c r="O7" s="26">
        <v>3.7</v>
      </c>
      <c r="P7" s="79"/>
      <c r="Q7" s="26">
        <v>8.5500000000000007</v>
      </c>
      <c r="R7" s="79"/>
      <c r="S7" s="26">
        <v>11.81</v>
      </c>
      <c r="T7" s="79"/>
      <c r="U7" s="26">
        <v>11.19</v>
      </c>
      <c r="V7" s="79"/>
      <c r="W7" s="26">
        <v>11.37</v>
      </c>
      <c r="X7" s="79"/>
      <c r="Y7" s="26">
        <v>8.32</v>
      </c>
      <c r="Z7" s="79"/>
      <c r="AA7" s="79"/>
      <c r="AB7" s="26">
        <f>AVERAGE(C7:Y7)</f>
        <v>9.2391666666666676</v>
      </c>
      <c r="AC7" s="74" t="s">
        <v>81</v>
      </c>
      <c r="AD7" s="79">
        <v>1</v>
      </c>
      <c r="AE7" s="79"/>
      <c r="AF7" s="79"/>
    </row>
    <row r="8" spans="1:32">
      <c r="A8" s="74" t="s">
        <v>26</v>
      </c>
      <c r="C8" s="26">
        <v>10.55</v>
      </c>
      <c r="D8" s="80"/>
      <c r="E8" s="26">
        <v>20.66</v>
      </c>
      <c r="F8" s="79"/>
      <c r="G8" s="26">
        <v>23.92</v>
      </c>
      <c r="H8" s="79"/>
      <c r="I8" s="47"/>
      <c r="J8" s="79"/>
      <c r="K8" s="26">
        <v>7.41</v>
      </c>
      <c r="L8" s="79"/>
      <c r="M8" s="47">
        <v>6.75</v>
      </c>
      <c r="N8" s="79"/>
      <c r="P8" s="79"/>
      <c r="R8" s="79"/>
      <c r="S8" s="26">
        <v>17.72</v>
      </c>
      <c r="T8" s="79"/>
      <c r="U8" s="26">
        <v>16.78</v>
      </c>
      <c r="V8" s="79"/>
      <c r="X8" s="79"/>
      <c r="Z8" s="79"/>
      <c r="AA8" s="79"/>
      <c r="AB8" s="26">
        <f t="shared" ref="AB8:AB16" si="0">AVERAGE(C8:Y8)</f>
        <v>14.827142857142858</v>
      </c>
      <c r="AC8" s="74" t="s">
        <v>26</v>
      </c>
      <c r="AD8" s="79">
        <v>1.5</v>
      </c>
      <c r="AE8" s="79"/>
      <c r="AF8" s="79"/>
    </row>
    <row r="9" spans="1:32">
      <c r="A9" s="74" t="s">
        <v>82</v>
      </c>
      <c r="C9" s="26">
        <v>17.579999999999998</v>
      </c>
      <c r="D9" s="80"/>
      <c r="E9" s="26">
        <v>34.42</v>
      </c>
      <c r="F9" s="79"/>
      <c r="G9" s="26">
        <v>39.840000000000003</v>
      </c>
      <c r="H9" s="79"/>
      <c r="I9" s="47">
        <v>24.02</v>
      </c>
      <c r="J9" s="79"/>
      <c r="K9" s="26">
        <v>12.19</v>
      </c>
      <c r="L9" s="79"/>
      <c r="M9" s="47">
        <v>11.24</v>
      </c>
      <c r="N9" s="79"/>
      <c r="O9" s="26">
        <v>9.26</v>
      </c>
      <c r="P9" s="79"/>
      <c r="Q9" s="26">
        <v>21.36</v>
      </c>
      <c r="R9" s="79"/>
      <c r="S9" s="26">
        <v>29.53</v>
      </c>
      <c r="T9" s="79"/>
      <c r="U9" s="26">
        <v>27.96</v>
      </c>
      <c r="V9" s="79"/>
      <c r="W9" s="26">
        <v>28.41</v>
      </c>
      <c r="X9" s="79"/>
      <c r="Y9" s="26">
        <v>20.79</v>
      </c>
      <c r="Z9" s="79"/>
      <c r="AA9" s="79"/>
      <c r="AB9" s="26">
        <f t="shared" si="0"/>
        <v>23.05</v>
      </c>
      <c r="AC9" s="74" t="s">
        <v>82</v>
      </c>
      <c r="AD9" s="79">
        <v>2.5</v>
      </c>
      <c r="AE9" s="79"/>
      <c r="AF9" s="79"/>
    </row>
    <row r="10" spans="1:32">
      <c r="A10" s="74" t="s">
        <v>90</v>
      </c>
      <c r="C10" s="26">
        <v>35.200000000000003</v>
      </c>
      <c r="D10" s="80"/>
      <c r="E10" s="26">
        <v>68.84</v>
      </c>
      <c r="F10" s="79"/>
      <c r="G10" s="26">
        <v>79.680000000000007</v>
      </c>
      <c r="H10" s="79"/>
      <c r="I10" s="47">
        <v>48.05</v>
      </c>
      <c r="J10" s="79"/>
      <c r="K10" s="26">
        <v>24.82</v>
      </c>
      <c r="L10" s="79"/>
      <c r="M10" s="47">
        <v>22.47</v>
      </c>
      <c r="N10" s="79"/>
      <c r="O10" s="26">
        <v>18.52</v>
      </c>
      <c r="P10" s="79"/>
      <c r="Q10" s="26">
        <v>42.73</v>
      </c>
      <c r="R10" s="79"/>
      <c r="S10" s="26">
        <v>59.03</v>
      </c>
      <c r="T10" s="79"/>
      <c r="U10" s="26">
        <v>55.91</v>
      </c>
      <c r="V10" s="79"/>
      <c r="W10" s="26">
        <v>56.81</v>
      </c>
      <c r="X10" s="79"/>
      <c r="Y10" s="26">
        <v>41.58</v>
      </c>
      <c r="Z10" s="79"/>
      <c r="AA10" s="79"/>
      <c r="AB10" s="26">
        <f t="shared" si="0"/>
        <v>46.136666666666663</v>
      </c>
      <c r="AC10" s="74" t="s">
        <v>90</v>
      </c>
      <c r="AD10" s="79">
        <v>5</v>
      </c>
      <c r="AE10" s="79"/>
      <c r="AF10" s="79"/>
    </row>
    <row r="11" spans="1:32">
      <c r="A11" s="74" t="s">
        <v>29</v>
      </c>
      <c r="C11" s="26">
        <v>56.3</v>
      </c>
      <c r="D11" s="80"/>
      <c r="E11" s="26">
        <v>110.16</v>
      </c>
      <c r="F11" s="79"/>
      <c r="G11" s="26">
        <v>127.49</v>
      </c>
      <c r="H11" s="79"/>
      <c r="I11" s="47">
        <v>76.87</v>
      </c>
      <c r="J11" s="79"/>
      <c r="K11" s="26">
        <v>38.979999999999997</v>
      </c>
      <c r="L11" s="79"/>
      <c r="M11" s="47">
        <v>35.950000000000003</v>
      </c>
      <c r="N11" s="79"/>
      <c r="O11" s="26">
        <v>29.62</v>
      </c>
      <c r="P11" s="79"/>
      <c r="Q11" s="26">
        <v>68.349999999999994</v>
      </c>
      <c r="R11" s="79"/>
      <c r="S11" s="26">
        <v>94.45</v>
      </c>
      <c r="T11" s="79"/>
      <c r="U11" s="26">
        <v>89.45</v>
      </c>
      <c r="V11" s="79"/>
      <c r="W11" s="26">
        <v>90.9</v>
      </c>
      <c r="X11" s="79"/>
      <c r="Y11" s="26">
        <v>66.52</v>
      </c>
      <c r="Z11" s="79"/>
      <c r="AA11" s="79"/>
      <c r="AB11" s="26">
        <f t="shared" si="0"/>
        <v>73.753333333333345</v>
      </c>
      <c r="AC11" s="74" t="s">
        <v>29</v>
      </c>
      <c r="AD11" s="79">
        <v>8</v>
      </c>
      <c r="AE11" s="79"/>
      <c r="AF11" s="79"/>
    </row>
    <row r="12" spans="1:32">
      <c r="A12" s="74" t="s">
        <v>30</v>
      </c>
      <c r="C12" s="26">
        <v>112.6</v>
      </c>
      <c r="D12" s="80"/>
      <c r="E12" s="26">
        <v>220.32</v>
      </c>
      <c r="F12" s="79"/>
      <c r="G12" s="26">
        <v>254.98</v>
      </c>
      <c r="H12" s="79"/>
      <c r="I12" s="47">
        <v>153.75</v>
      </c>
      <c r="J12" s="79"/>
      <c r="K12" s="26">
        <v>79.53</v>
      </c>
      <c r="L12" s="79"/>
      <c r="M12" s="47">
        <v>71.900000000000006</v>
      </c>
      <c r="N12" s="79"/>
      <c r="O12" s="26">
        <v>59.24</v>
      </c>
      <c r="P12" s="79"/>
      <c r="Q12" s="26">
        <v>136.69999999999999</v>
      </c>
      <c r="R12" s="79"/>
      <c r="S12" s="26">
        <v>188.9</v>
      </c>
      <c r="T12" s="79"/>
      <c r="U12" s="26">
        <v>178.91</v>
      </c>
      <c r="V12" s="79"/>
      <c r="W12" s="26">
        <v>181.9</v>
      </c>
      <c r="X12" s="79"/>
      <c r="Y12" s="26">
        <v>133.06</v>
      </c>
      <c r="Z12" s="79"/>
      <c r="AA12" s="79"/>
      <c r="AB12" s="26">
        <f t="shared" si="0"/>
        <v>147.64916666666667</v>
      </c>
      <c r="AC12" s="74" t="s">
        <v>30</v>
      </c>
      <c r="AD12" s="79">
        <v>16</v>
      </c>
      <c r="AE12" s="79"/>
      <c r="AF12" s="79"/>
    </row>
    <row r="13" spans="1:32">
      <c r="A13" s="74" t="s">
        <v>31</v>
      </c>
      <c r="C13" s="26">
        <v>175.96</v>
      </c>
      <c r="D13" s="80"/>
      <c r="E13" s="26">
        <v>344.24</v>
      </c>
      <c r="F13" s="79"/>
      <c r="G13" s="26">
        <v>398.4</v>
      </c>
      <c r="H13" s="79"/>
      <c r="I13" s="47">
        <v>240.25</v>
      </c>
      <c r="J13" s="79"/>
      <c r="K13" s="26">
        <v>121.84</v>
      </c>
      <c r="L13" s="79"/>
      <c r="M13" s="47">
        <v>112.35</v>
      </c>
      <c r="N13" s="79"/>
      <c r="O13" s="26">
        <v>92.57</v>
      </c>
      <c r="P13" s="79"/>
      <c r="Q13" s="26">
        <v>213.61</v>
      </c>
      <c r="R13" s="79"/>
      <c r="S13" s="26">
        <v>295.17</v>
      </c>
      <c r="T13" s="79"/>
      <c r="U13" s="26">
        <v>279.55</v>
      </c>
      <c r="V13" s="79"/>
      <c r="W13" s="26">
        <v>284.07</v>
      </c>
      <c r="X13" s="79"/>
      <c r="Y13" s="26">
        <v>207.89</v>
      </c>
      <c r="Z13" s="79"/>
      <c r="AA13" s="79"/>
      <c r="AB13" s="26">
        <f t="shared" si="0"/>
        <v>230.49166666666667</v>
      </c>
      <c r="AC13" s="74" t="s">
        <v>31</v>
      </c>
      <c r="AD13" s="79">
        <v>25</v>
      </c>
      <c r="AE13" s="79"/>
      <c r="AF13" s="79"/>
    </row>
    <row r="14" spans="1:32">
      <c r="A14" s="74" t="s">
        <v>32</v>
      </c>
      <c r="C14" s="26">
        <v>351.87</v>
      </c>
      <c r="D14" s="80"/>
      <c r="E14" s="26">
        <v>688.48</v>
      </c>
      <c r="F14" s="79"/>
      <c r="G14" s="26">
        <v>796.8</v>
      </c>
      <c r="H14" s="79"/>
      <c r="I14" s="47">
        <v>480.47</v>
      </c>
      <c r="J14" s="79"/>
      <c r="K14" s="26">
        <v>248.11</v>
      </c>
      <c r="L14" s="79"/>
      <c r="M14" s="47">
        <v>224.7</v>
      </c>
      <c r="N14" s="79"/>
      <c r="O14" s="26">
        <v>185.13</v>
      </c>
      <c r="P14" s="79"/>
      <c r="Q14" s="26">
        <v>427.23</v>
      </c>
      <c r="R14" s="79"/>
      <c r="S14" s="26">
        <v>590.33000000000004</v>
      </c>
      <c r="T14" s="79"/>
      <c r="U14" s="26">
        <v>549.02</v>
      </c>
      <c r="V14" s="79"/>
      <c r="W14" s="26">
        <v>568.13</v>
      </c>
      <c r="X14" s="79"/>
      <c r="Y14" s="26">
        <v>415.79</v>
      </c>
      <c r="Z14" s="79"/>
      <c r="AA14" s="79"/>
      <c r="AB14" s="26">
        <f t="shared" si="0"/>
        <v>460.50499999999994</v>
      </c>
      <c r="AC14" s="74" t="s">
        <v>32</v>
      </c>
      <c r="AD14" s="79">
        <v>50</v>
      </c>
      <c r="AE14" s="79"/>
      <c r="AF14" s="79"/>
    </row>
    <row r="15" spans="1:32">
      <c r="A15" s="74" t="s">
        <v>48</v>
      </c>
      <c r="G15" s="32"/>
      <c r="I15" s="47">
        <v>864.83</v>
      </c>
      <c r="J15" s="79"/>
      <c r="K15" s="32"/>
      <c r="M15" s="47">
        <v>359.52</v>
      </c>
      <c r="N15" s="79"/>
      <c r="Q15" s="25"/>
      <c r="S15" s="32"/>
      <c r="U15" s="32"/>
      <c r="Y15" s="25"/>
      <c r="AB15" s="26">
        <f t="shared" si="0"/>
        <v>612.17499999999995</v>
      </c>
      <c r="AC15" s="74" t="s">
        <v>48</v>
      </c>
      <c r="AD15" s="79">
        <v>80</v>
      </c>
      <c r="AE15" s="79"/>
      <c r="AF15" s="79"/>
    </row>
    <row r="16" spans="1:32">
      <c r="A16" s="74" t="s">
        <v>54</v>
      </c>
      <c r="I16" s="47">
        <v>1393.36</v>
      </c>
      <c r="J16" s="79"/>
      <c r="K16" s="25"/>
      <c r="M16" s="32"/>
      <c r="W16" s="40"/>
      <c r="AB16" s="26">
        <f t="shared" si="0"/>
        <v>1393.36</v>
      </c>
      <c r="AC16" s="74" t="s">
        <v>54</v>
      </c>
      <c r="AD16" s="79">
        <v>145</v>
      </c>
      <c r="AE16" s="79"/>
      <c r="AF16" s="79"/>
    </row>
    <row r="17" spans="1:36">
      <c r="I17" s="25"/>
      <c r="M17" s="25"/>
      <c r="W17" s="75"/>
    </row>
    <row r="18" spans="1:36">
      <c r="A18" s="33"/>
      <c r="C18" s="76">
        <v>4.84</v>
      </c>
      <c r="D18" s="144" t="s">
        <v>87</v>
      </c>
      <c r="E18" s="76">
        <v>8.68</v>
      </c>
      <c r="F18" s="74"/>
      <c r="G18" s="76">
        <v>6.77</v>
      </c>
      <c r="I18" s="47">
        <v>2.36</v>
      </c>
      <c r="J18" s="144" t="s">
        <v>97</v>
      </c>
      <c r="K18" s="76">
        <v>1.88</v>
      </c>
      <c r="L18" s="144" t="s">
        <v>101</v>
      </c>
      <c r="M18" s="47">
        <v>0.95</v>
      </c>
      <c r="N18" s="144" t="s">
        <v>87</v>
      </c>
      <c r="O18" s="47">
        <v>2.2400000000000002</v>
      </c>
      <c r="Q18" s="76">
        <v>3.46</v>
      </c>
      <c r="R18" s="144" t="s">
        <v>87</v>
      </c>
      <c r="S18" s="47">
        <v>5.45</v>
      </c>
      <c r="T18" s="74"/>
      <c r="U18" s="47">
        <v>5.17</v>
      </c>
      <c r="V18" s="74"/>
      <c r="W18" s="47">
        <v>6.43</v>
      </c>
      <c r="Y18" s="47">
        <v>3.7</v>
      </c>
      <c r="Z18" s="144" t="s">
        <v>116</v>
      </c>
      <c r="AA18" s="144"/>
      <c r="AB18" s="26">
        <f>C18+I18+M18+Y18</f>
        <v>11.849999999999998</v>
      </c>
      <c r="AC18" s="72" t="s">
        <v>120</v>
      </c>
      <c r="AE18" s="88">
        <f>+C18/C$18</f>
        <v>1</v>
      </c>
      <c r="AF18" s="88">
        <f>+I18/I$18</f>
        <v>1</v>
      </c>
      <c r="AG18" s="88">
        <f>+K18/K$18</f>
        <v>1</v>
      </c>
      <c r="AH18" s="88">
        <f>+M18/M$18</f>
        <v>1</v>
      </c>
      <c r="AI18" s="88">
        <f>+Q18/Q$18</f>
        <v>1</v>
      </c>
      <c r="AJ18" s="88">
        <f>+Y18/Y$18</f>
        <v>1</v>
      </c>
    </row>
    <row r="19" spans="1:36">
      <c r="A19" s="33"/>
      <c r="C19" s="76">
        <v>7.26</v>
      </c>
      <c r="D19" s="144" t="s">
        <v>88</v>
      </c>
      <c r="I19" s="47">
        <v>2.73</v>
      </c>
      <c r="J19" s="144" t="s">
        <v>98</v>
      </c>
      <c r="K19" s="76">
        <v>1.98</v>
      </c>
      <c r="L19" s="144" t="s">
        <v>102</v>
      </c>
      <c r="M19" s="47">
        <v>1.43</v>
      </c>
      <c r="N19" s="144" t="s">
        <v>105</v>
      </c>
      <c r="Q19" s="76">
        <v>3.58</v>
      </c>
      <c r="R19" s="144" t="s">
        <v>109</v>
      </c>
      <c r="Y19" s="47">
        <v>6.46</v>
      </c>
      <c r="Z19" s="144" t="s">
        <v>110</v>
      </c>
      <c r="AA19" s="144"/>
      <c r="AB19" s="26">
        <f>C19+I19+M19+Y19</f>
        <v>17.88</v>
      </c>
      <c r="AC19" s="72" t="s">
        <v>121</v>
      </c>
      <c r="AD19" s="72">
        <f>+AB19/AB18</f>
        <v>1.5088607594936712</v>
      </c>
      <c r="AE19" s="88">
        <f>+C19/C$18</f>
        <v>1.5</v>
      </c>
      <c r="AF19" s="88">
        <f>+I19/I$18</f>
        <v>1.1567796610169492</v>
      </c>
      <c r="AG19" s="88">
        <f>+K20/K$18</f>
        <v>1.2925531914893618</v>
      </c>
      <c r="AH19" s="88">
        <f>+M19/M$18</f>
        <v>1.5052631578947369</v>
      </c>
      <c r="AI19" s="88">
        <f>+Q20/Q$18</f>
        <v>1.5549132947976878</v>
      </c>
      <c r="AJ19" s="88">
        <f>+Y19/Y$18</f>
        <v>1.7459459459459459</v>
      </c>
    </row>
    <row r="20" spans="1:36">
      <c r="A20" s="33"/>
      <c r="C20" s="76">
        <v>9.68</v>
      </c>
      <c r="D20" s="146" t="s">
        <v>89</v>
      </c>
      <c r="I20" s="47">
        <v>4.08</v>
      </c>
      <c r="J20" s="146" t="s">
        <v>99</v>
      </c>
      <c r="K20" s="76">
        <v>2.4300000000000002</v>
      </c>
      <c r="L20" s="144" t="s">
        <v>88</v>
      </c>
      <c r="M20" s="47">
        <v>2.37</v>
      </c>
      <c r="N20" s="146" t="s">
        <v>106</v>
      </c>
      <c r="Q20" s="76">
        <v>5.38</v>
      </c>
      <c r="R20" s="144" t="s">
        <v>110</v>
      </c>
      <c r="Y20" s="47">
        <v>8.31</v>
      </c>
      <c r="Z20" s="146" t="s">
        <v>111</v>
      </c>
      <c r="AA20" s="146"/>
      <c r="AB20" s="26">
        <f>C20+I20+M20+Y20</f>
        <v>24.439999999999998</v>
      </c>
      <c r="AC20" s="72" t="s">
        <v>122</v>
      </c>
      <c r="AD20" s="72">
        <f>+AB20/AB18</f>
        <v>2.0624472573839663</v>
      </c>
      <c r="AE20" s="88">
        <f>+C20/C$18</f>
        <v>2</v>
      </c>
      <c r="AF20" s="88">
        <f>+I20/I$18</f>
        <v>1.728813559322034</v>
      </c>
      <c r="AG20" s="88">
        <f>+K21/K$18</f>
        <v>1.5478723404255321</v>
      </c>
      <c r="AH20" s="88">
        <f>+M20/M$18</f>
        <v>2.4947368421052634</v>
      </c>
      <c r="AI20" s="88">
        <f>+Q21/Q$18</f>
        <v>1.8150289017341041</v>
      </c>
      <c r="AJ20" s="88">
        <f>+Y20/Y$18</f>
        <v>2.2459459459459459</v>
      </c>
    </row>
    <row r="21" spans="1:36">
      <c r="B21" s="74"/>
      <c r="K21" s="76">
        <v>2.91</v>
      </c>
      <c r="L21" s="146" t="s">
        <v>89</v>
      </c>
      <c r="N21" s="147"/>
      <c r="Q21" s="76">
        <v>6.28</v>
      </c>
      <c r="R21" s="146" t="s">
        <v>111</v>
      </c>
      <c r="AG21" s="88"/>
    </row>
    <row r="22" spans="1:36">
      <c r="A22" s="72" t="s">
        <v>84</v>
      </c>
      <c r="B22" s="74"/>
    </row>
    <row r="23" spans="1:36">
      <c r="A23" s="74" t="s">
        <v>85</v>
      </c>
      <c r="B23" s="74"/>
    </row>
    <row r="24" spans="1:36">
      <c r="A24" s="74" t="s">
        <v>81</v>
      </c>
      <c r="B24" s="74"/>
      <c r="C24" s="26">
        <v>7.04</v>
      </c>
      <c r="E24" s="26">
        <v>13.76</v>
      </c>
      <c r="G24" s="26">
        <v>15.94</v>
      </c>
      <c r="I24" s="47">
        <v>9.61</v>
      </c>
      <c r="K24" s="26">
        <v>5.09</v>
      </c>
      <c r="M24" s="47">
        <v>4.49</v>
      </c>
      <c r="O24" s="26">
        <v>3.7</v>
      </c>
      <c r="Q24" s="26">
        <v>8.5500000000000007</v>
      </c>
      <c r="S24" s="26">
        <v>11.81</v>
      </c>
      <c r="U24" s="26">
        <v>11.19</v>
      </c>
      <c r="W24" s="26">
        <v>11.37</v>
      </c>
      <c r="Y24" s="26">
        <v>8.32</v>
      </c>
      <c r="AB24" s="281">
        <f>+I18+M18</f>
        <v>3.3099999999999996</v>
      </c>
    </row>
    <row r="25" spans="1:36">
      <c r="A25" s="74" t="s">
        <v>26</v>
      </c>
      <c r="B25" s="74"/>
      <c r="C25" s="26">
        <v>10.55</v>
      </c>
      <c r="E25" s="26">
        <v>20.66</v>
      </c>
      <c r="G25" s="26">
        <v>23.92</v>
      </c>
      <c r="I25" s="47"/>
      <c r="K25" s="26">
        <v>7.41</v>
      </c>
      <c r="M25" s="47">
        <v>6.75</v>
      </c>
      <c r="S25" s="26">
        <v>17.72</v>
      </c>
      <c r="U25" s="26">
        <v>16.78</v>
      </c>
      <c r="W25" s="26"/>
      <c r="AB25" s="249">
        <f>+I35+M35</f>
        <v>4.84</v>
      </c>
      <c r="AC25" s="281">
        <f>+AB25/AB24</f>
        <v>1.4622356495468278</v>
      </c>
    </row>
    <row r="26" spans="1:36">
      <c r="A26" s="74" t="s">
        <v>82</v>
      </c>
      <c r="B26" s="74"/>
      <c r="C26" s="26">
        <v>17.579999999999998</v>
      </c>
      <c r="E26" s="26">
        <v>34.42</v>
      </c>
      <c r="G26" s="26">
        <v>39.840000000000003</v>
      </c>
      <c r="I26" s="47">
        <v>24.02</v>
      </c>
      <c r="K26" s="26">
        <v>12.19</v>
      </c>
      <c r="M26" s="47">
        <v>11.24</v>
      </c>
      <c r="O26" s="26">
        <v>9.26</v>
      </c>
      <c r="Q26" s="26">
        <v>21.36</v>
      </c>
      <c r="S26" s="26">
        <v>29.53</v>
      </c>
      <c r="U26" s="26">
        <v>27.96</v>
      </c>
      <c r="W26" s="26">
        <v>28.41</v>
      </c>
      <c r="Y26" s="26">
        <v>20.79</v>
      </c>
      <c r="AB26" s="249"/>
      <c r="AC26" s="249"/>
    </row>
    <row r="27" spans="1:36">
      <c r="A27" s="74" t="s">
        <v>90</v>
      </c>
      <c r="B27" s="74"/>
      <c r="C27" s="26">
        <v>35.200000000000003</v>
      </c>
      <c r="E27" s="26">
        <v>68.84</v>
      </c>
      <c r="G27" s="26">
        <v>79.680000000000007</v>
      </c>
      <c r="I27" s="47">
        <v>48.05</v>
      </c>
      <c r="K27" s="26">
        <v>24.82</v>
      </c>
      <c r="M27" s="47">
        <v>22.47</v>
      </c>
      <c r="O27" s="26">
        <v>18.52</v>
      </c>
      <c r="Q27" s="26">
        <v>42.73</v>
      </c>
      <c r="S27" s="26">
        <v>59.03</v>
      </c>
      <c r="U27" s="26">
        <v>55.91</v>
      </c>
      <c r="W27" s="26">
        <v>56.81</v>
      </c>
      <c r="Y27" s="26">
        <v>41.58</v>
      </c>
      <c r="AB27" s="249"/>
      <c r="AC27" s="249"/>
      <c r="AD27" s="88"/>
    </row>
    <row r="28" spans="1:36">
      <c r="A28" s="74" t="s">
        <v>29</v>
      </c>
      <c r="B28" s="74"/>
      <c r="C28" s="26">
        <v>56.3</v>
      </c>
      <c r="E28" s="26">
        <v>110.16</v>
      </c>
      <c r="G28" s="26">
        <v>127.49</v>
      </c>
      <c r="I28" s="47">
        <v>76.87</v>
      </c>
      <c r="K28" s="26">
        <v>38.979999999999997</v>
      </c>
      <c r="M28" s="47">
        <v>35.950000000000003</v>
      </c>
      <c r="O28" s="26">
        <v>29.62</v>
      </c>
      <c r="Q28" s="26">
        <v>68.349999999999994</v>
      </c>
      <c r="S28" s="26">
        <v>94.45</v>
      </c>
      <c r="U28" s="26">
        <v>89.45</v>
      </c>
      <c r="W28" s="26">
        <v>90.9</v>
      </c>
      <c r="Y28" s="26">
        <v>66.52</v>
      </c>
      <c r="AD28" s="88"/>
    </row>
    <row r="29" spans="1:36">
      <c r="A29" s="74" t="s">
        <v>30</v>
      </c>
      <c r="B29" s="74"/>
      <c r="C29" s="26">
        <v>112.6</v>
      </c>
      <c r="E29" s="26">
        <v>220.32</v>
      </c>
      <c r="G29" s="26">
        <v>254.98</v>
      </c>
      <c r="I29" s="47">
        <v>153.75</v>
      </c>
      <c r="K29" s="26">
        <v>79.53</v>
      </c>
      <c r="M29" s="47">
        <v>71.900000000000006</v>
      </c>
      <c r="O29" s="26">
        <v>59.24</v>
      </c>
      <c r="Q29" s="26">
        <v>136.69999999999999</v>
      </c>
      <c r="S29" s="26">
        <v>188.9</v>
      </c>
      <c r="U29" s="26">
        <v>178.91</v>
      </c>
      <c r="W29" s="26">
        <v>181.9</v>
      </c>
      <c r="Y29" s="26">
        <v>133.06</v>
      </c>
      <c r="AD29" s="88"/>
    </row>
    <row r="30" spans="1:36">
      <c r="A30" s="74" t="s">
        <v>31</v>
      </c>
      <c r="B30" s="74"/>
      <c r="C30" s="26">
        <v>175.96</v>
      </c>
      <c r="E30" s="26">
        <v>344.24</v>
      </c>
      <c r="G30" s="26">
        <v>398.4</v>
      </c>
      <c r="I30" s="47">
        <v>240.25</v>
      </c>
      <c r="K30" s="26">
        <v>121.84</v>
      </c>
      <c r="M30" s="47">
        <v>112.35</v>
      </c>
      <c r="O30" s="26">
        <v>92.57</v>
      </c>
      <c r="Q30" s="26">
        <v>213.61</v>
      </c>
      <c r="S30" s="26">
        <v>295.17</v>
      </c>
      <c r="U30" s="26">
        <v>279.55</v>
      </c>
      <c r="W30" s="26">
        <v>284.07</v>
      </c>
      <c r="Y30" s="26">
        <v>207.89</v>
      </c>
      <c r="AD30" s="88"/>
    </row>
    <row r="31" spans="1:36">
      <c r="A31" s="74" t="s">
        <v>32</v>
      </c>
      <c r="B31" s="74"/>
      <c r="C31" s="26">
        <v>351.87</v>
      </c>
      <c r="E31" s="26">
        <v>688.48</v>
      </c>
      <c r="G31" s="26">
        <v>796.8</v>
      </c>
      <c r="I31" s="47">
        <v>480.47</v>
      </c>
      <c r="K31" s="26">
        <v>248.11</v>
      </c>
      <c r="M31" s="47">
        <v>224.7</v>
      </c>
      <c r="O31" s="26">
        <v>185.13</v>
      </c>
      <c r="Q31" s="26">
        <v>427.23</v>
      </c>
      <c r="S31" s="26">
        <v>590.33000000000004</v>
      </c>
      <c r="U31" s="26">
        <v>549.02</v>
      </c>
      <c r="W31" s="26">
        <v>568.13</v>
      </c>
      <c r="Y31" s="26">
        <v>415.79</v>
      </c>
      <c r="AD31" s="88"/>
    </row>
    <row r="32" spans="1:36">
      <c r="A32" s="74" t="s">
        <v>48</v>
      </c>
      <c r="B32" s="74"/>
      <c r="G32" s="32"/>
      <c r="I32" s="47">
        <v>864.83</v>
      </c>
      <c r="K32" s="32"/>
      <c r="M32" s="47">
        <v>359.52</v>
      </c>
      <c r="Q32" s="25"/>
      <c r="S32" s="32"/>
      <c r="U32" s="32"/>
    </row>
    <row r="33" spans="1:32">
      <c r="A33" s="74" t="s">
        <v>54</v>
      </c>
      <c r="B33" s="74"/>
      <c r="I33" s="47">
        <v>1393.36</v>
      </c>
      <c r="K33" s="25"/>
      <c r="M33" s="32"/>
    </row>
    <row r="34" spans="1:32">
      <c r="B34" s="74"/>
      <c r="I34" s="25"/>
      <c r="M34" s="25"/>
    </row>
    <row r="35" spans="1:32">
      <c r="A35" s="74" t="s">
        <v>91</v>
      </c>
      <c r="C35" s="76">
        <v>5.14</v>
      </c>
      <c r="D35" s="74"/>
      <c r="E35" s="76">
        <v>8.68</v>
      </c>
      <c r="F35" s="74"/>
      <c r="G35" s="76">
        <v>6.77</v>
      </c>
      <c r="H35" s="74"/>
      <c r="I35" s="47">
        <v>3.21</v>
      </c>
      <c r="J35" s="74"/>
      <c r="K35" s="76">
        <v>2.25</v>
      </c>
      <c r="L35" s="74"/>
      <c r="M35" s="47">
        <v>1.63</v>
      </c>
      <c r="N35" s="74"/>
      <c r="O35" s="47">
        <v>2.2400000000000002</v>
      </c>
      <c r="P35" s="74"/>
      <c r="Q35" s="76">
        <v>3.97</v>
      </c>
      <c r="R35" s="74"/>
      <c r="S35" s="47">
        <v>5.45</v>
      </c>
      <c r="T35" s="74"/>
      <c r="U35" s="47">
        <v>5.17</v>
      </c>
      <c r="V35" s="74"/>
      <c r="W35" s="47">
        <v>6.42</v>
      </c>
      <c r="X35" s="74"/>
      <c r="Y35" s="47">
        <v>4.34</v>
      </c>
      <c r="AB35" s="26">
        <f>C35+I35+M35+Y35</f>
        <v>14.32</v>
      </c>
      <c r="AC35" s="26">
        <f>AVERAGE(C35:Y35)</f>
        <v>4.6058333333333339</v>
      </c>
      <c r="AD35" s="72">
        <v>1.5</v>
      </c>
      <c r="AE35" s="72">
        <f>+AC35/AB18</f>
        <v>0.38867791842475397</v>
      </c>
    </row>
    <row r="36" spans="1:32">
      <c r="A36" s="145" t="s">
        <v>189</v>
      </c>
      <c r="B36" s="74"/>
      <c r="C36" s="143">
        <f>+C35/C18</f>
        <v>1.0619834710743801</v>
      </c>
      <c r="D36" s="81"/>
      <c r="E36" s="143">
        <f>+E35/E18</f>
        <v>1</v>
      </c>
      <c r="F36" s="81"/>
      <c r="G36" s="143">
        <f>+G35/G18</f>
        <v>1</v>
      </c>
      <c r="H36" s="81"/>
      <c r="I36" s="143">
        <f>+I35/I18</f>
        <v>1.3601694915254239</v>
      </c>
      <c r="J36" s="81"/>
      <c r="K36" s="143">
        <f>+K35/K18</f>
        <v>1.196808510638298</v>
      </c>
      <c r="L36" s="81"/>
      <c r="M36" s="143">
        <f>+M35/M18</f>
        <v>1.7157894736842105</v>
      </c>
      <c r="N36" s="81"/>
      <c r="O36" s="143">
        <f>+O35/O18</f>
        <v>1</v>
      </c>
      <c r="P36" s="81"/>
      <c r="Q36" s="143">
        <f>+Q35/Q18</f>
        <v>1.147398843930636</v>
      </c>
      <c r="R36" s="81"/>
      <c r="S36" s="143">
        <f>+S35/S18</f>
        <v>1</v>
      </c>
      <c r="T36" s="81"/>
      <c r="U36" s="143">
        <f>+U35/U18</f>
        <v>1</v>
      </c>
      <c r="V36" s="81"/>
      <c r="W36" s="143">
        <f>+W35/W18</f>
        <v>0.99844479004665632</v>
      </c>
      <c r="X36" s="81"/>
      <c r="Y36" s="143">
        <f>+Y35/Y18</f>
        <v>1.172972972972973</v>
      </c>
      <c r="Z36" s="81"/>
      <c r="AA36" s="81"/>
      <c r="AD36" s="114">
        <f>AVERAGE(C36:Y36)</f>
        <v>1.1377972961560483</v>
      </c>
    </row>
    <row r="37" spans="1:32">
      <c r="A37" s="78" t="s">
        <v>93</v>
      </c>
      <c r="B37" s="74"/>
      <c r="I37" s="249"/>
    </row>
    <row r="38" spans="1:32">
      <c r="A38" s="74" t="s">
        <v>29</v>
      </c>
      <c r="B38" s="74"/>
      <c r="E38" s="26">
        <v>110.16</v>
      </c>
    </row>
    <row r="39" spans="1:32">
      <c r="A39" s="74" t="s">
        <v>91</v>
      </c>
      <c r="B39" s="74"/>
      <c r="E39" s="76">
        <v>8.68</v>
      </c>
    </row>
    <row r="40" spans="1:32">
      <c r="B40" s="74"/>
    </row>
    <row r="41" spans="1:32">
      <c r="A41" s="72" t="s">
        <v>100</v>
      </c>
      <c r="B41" s="74"/>
      <c r="I41" s="73" t="s">
        <v>103</v>
      </c>
    </row>
    <row r="42" spans="1:32">
      <c r="A42" s="74" t="s">
        <v>90</v>
      </c>
      <c r="B42" s="74"/>
      <c r="I42" s="47">
        <f>I44/5</f>
        <v>242</v>
      </c>
      <c r="M42" s="47">
        <v>1.87</v>
      </c>
      <c r="N42" s="82"/>
      <c r="AD42" s="108">
        <f>+AD7</f>
        <v>1</v>
      </c>
      <c r="AE42" s="88">
        <f>M42/M$42</f>
        <v>1</v>
      </c>
      <c r="AF42" s="88">
        <f>+I42/I$42</f>
        <v>1</v>
      </c>
    </row>
    <row r="43" spans="1:32">
      <c r="A43" s="74" t="s">
        <v>29</v>
      </c>
      <c r="B43" s="74"/>
      <c r="I43" s="47">
        <f>I42*AD43</f>
        <v>387.20000000000005</v>
      </c>
      <c r="M43" s="47">
        <v>3</v>
      </c>
      <c r="N43" s="82"/>
      <c r="AD43" s="108">
        <v>1.6</v>
      </c>
      <c r="AE43" s="88">
        <f>M43/M$42</f>
        <v>1.6042780748663101</v>
      </c>
      <c r="AF43" s="88">
        <f t="shared" ref="AF43:AF48" si="1">+I43/I$42</f>
        <v>1.6</v>
      </c>
    </row>
    <row r="44" spans="1:32">
      <c r="A44" s="74" t="s">
        <v>31</v>
      </c>
      <c r="B44" s="74"/>
      <c r="I44" s="47">
        <f>1210</f>
        <v>1210</v>
      </c>
      <c r="J44" s="81"/>
      <c r="M44" s="47">
        <v>9.36</v>
      </c>
      <c r="N44" s="82"/>
      <c r="AD44" s="108">
        <v>5</v>
      </c>
      <c r="AE44" s="88">
        <f>M44/M$42</f>
        <v>5.0053475935828873</v>
      </c>
      <c r="AF44" s="88">
        <f t="shared" si="1"/>
        <v>5</v>
      </c>
    </row>
    <row r="45" spans="1:32">
      <c r="A45" s="74" t="s">
        <v>32</v>
      </c>
      <c r="B45" s="74"/>
      <c r="I45" s="47">
        <f>2420</f>
        <v>2420</v>
      </c>
      <c r="J45" s="81"/>
      <c r="M45" s="47">
        <v>18.72</v>
      </c>
      <c r="N45" s="82"/>
      <c r="AD45" s="108">
        <v>10</v>
      </c>
      <c r="AE45" s="88">
        <f>M45/M$42</f>
        <v>10.010695187165775</v>
      </c>
      <c r="AF45" s="88">
        <f t="shared" si="1"/>
        <v>10</v>
      </c>
    </row>
    <row r="46" spans="1:32">
      <c r="A46" s="74" t="s">
        <v>48</v>
      </c>
      <c r="I46" s="47">
        <f>3872</f>
        <v>3872</v>
      </c>
      <c r="J46" s="81"/>
      <c r="M46" s="47">
        <v>29.96</v>
      </c>
      <c r="N46" s="82"/>
      <c r="AD46" s="108">
        <v>16</v>
      </c>
      <c r="AE46" s="88">
        <f>M46/M$42</f>
        <v>16.021390374331549</v>
      </c>
      <c r="AF46" s="88">
        <f t="shared" si="1"/>
        <v>16</v>
      </c>
    </row>
    <row r="47" spans="1:32">
      <c r="A47" s="74" t="s">
        <v>54</v>
      </c>
      <c r="I47" s="47">
        <f>5565</f>
        <v>5565</v>
      </c>
      <c r="J47" s="81"/>
      <c r="AD47" s="108">
        <v>23</v>
      </c>
      <c r="AF47" s="88">
        <f t="shared" si="1"/>
        <v>22.995867768595041</v>
      </c>
    </row>
    <row r="48" spans="1:32">
      <c r="A48" s="74" t="s">
        <v>59</v>
      </c>
      <c r="I48" s="47">
        <f>10405</f>
        <v>10405</v>
      </c>
      <c r="J48" s="81"/>
      <c r="AD48" s="108">
        <v>43</v>
      </c>
      <c r="AF48" s="88">
        <f t="shared" si="1"/>
        <v>42.995867768595041</v>
      </c>
    </row>
  </sheetData>
  <printOptions horizontalCentered="1"/>
  <pageMargins left="0.2" right="0.2" top="0.75" bottom="0.25" header="0.3" footer="0.3"/>
  <pageSetup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zoomScaleNormal="100" workbookViewId="0">
      <selection activeCell="T8" sqref="T8"/>
    </sheetView>
  </sheetViews>
  <sheetFormatPr defaultRowHeight="15"/>
  <cols>
    <col min="1" max="1" width="11.28515625" style="252" customWidth="1"/>
    <col min="2" max="2" width="2.28515625" style="252" customWidth="1"/>
    <col min="3" max="3" width="11.140625" style="252" bestFit="1" customWidth="1"/>
    <col min="4" max="4" width="2.28515625" style="252" customWidth="1"/>
    <col min="5" max="5" width="11.28515625" style="252" bestFit="1" customWidth="1"/>
    <col min="6" max="6" width="2.28515625" style="252" customWidth="1"/>
    <col min="7" max="7" width="10" style="252" customWidth="1"/>
    <col min="8" max="8" width="2.28515625" style="252" customWidth="1"/>
    <col min="9" max="9" width="10.7109375" style="252" bestFit="1" customWidth="1"/>
    <col min="10" max="10" width="2.28515625" style="252" customWidth="1"/>
    <col min="11" max="11" width="10" style="252" customWidth="1"/>
    <col min="12" max="12" width="2.28515625" style="252" customWidth="1"/>
    <col min="13" max="13" width="11.5703125" style="252" bestFit="1" customWidth="1"/>
    <col min="14" max="14" width="2.28515625" style="252" customWidth="1"/>
    <col min="15" max="15" width="10.7109375" style="252" bestFit="1" customWidth="1"/>
    <col min="16" max="16" width="2.28515625" style="252" customWidth="1"/>
    <col min="17" max="17" width="10" style="252" customWidth="1"/>
    <col min="18" max="16384" width="9.140625" style="252"/>
  </cols>
  <sheetData>
    <row r="1" spans="1:21" ht="15.75">
      <c r="A1" s="251" t="s">
        <v>305</v>
      </c>
      <c r="B1" s="251"/>
      <c r="C1" s="251"/>
      <c r="Q1" s="74" t="str">
        <f>+'Water Rate Design'!$K$1</f>
        <v>Docket No. 160101 -WS</v>
      </c>
    </row>
    <row r="2" spans="1:21" ht="15.75">
      <c r="A2" s="253" t="s">
        <v>273</v>
      </c>
      <c r="B2" s="253"/>
      <c r="C2" s="253"/>
      <c r="Q2" s="74" t="str">
        <f>+'Water Rate Design'!$K$2</f>
        <v>Exhibit JFG-Rate Design</v>
      </c>
    </row>
    <row r="3" spans="1:21" ht="15.75">
      <c r="A3" s="253" t="s">
        <v>306</v>
      </c>
      <c r="B3" s="253"/>
      <c r="C3" s="253"/>
      <c r="Q3" s="74" t="s">
        <v>322</v>
      </c>
    </row>
    <row r="4" spans="1:21">
      <c r="A4" s="253" t="s">
        <v>318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</row>
    <row r="5" spans="1:21">
      <c r="A5" s="253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</row>
    <row r="6" spans="1:21">
      <c r="A6" s="254"/>
      <c r="B6" s="254"/>
      <c r="C6" s="254" t="s">
        <v>179</v>
      </c>
      <c r="D6" s="253"/>
      <c r="E6" s="296" t="s">
        <v>274</v>
      </c>
      <c r="F6" s="296"/>
      <c r="G6" s="296"/>
      <c r="H6" s="254"/>
      <c r="I6" s="296" t="s">
        <v>163</v>
      </c>
      <c r="J6" s="296"/>
      <c r="K6" s="296"/>
      <c r="L6" s="254"/>
      <c r="M6" s="254" t="s">
        <v>275</v>
      </c>
      <c r="N6" s="253"/>
      <c r="O6" s="297" t="s">
        <v>183</v>
      </c>
      <c r="P6" s="297"/>
      <c r="Q6" s="297"/>
    </row>
    <row r="7" spans="1:21">
      <c r="A7" s="254" t="s">
        <v>24</v>
      </c>
      <c r="B7" s="254"/>
      <c r="C7" s="255" t="s">
        <v>276</v>
      </c>
      <c r="D7" s="253"/>
      <c r="E7" s="295" t="s">
        <v>277</v>
      </c>
      <c r="F7" s="295"/>
      <c r="G7" s="295"/>
      <c r="H7" s="254"/>
      <c r="I7" s="295" t="s">
        <v>277</v>
      </c>
      <c r="J7" s="295"/>
      <c r="K7" s="295"/>
      <c r="L7" s="254"/>
      <c r="M7" s="255" t="s">
        <v>277</v>
      </c>
      <c r="N7" s="253"/>
      <c r="O7" s="295" t="s">
        <v>278</v>
      </c>
      <c r="P7" s="295"/>
      <c r="Q7" s="295"/>
    </row>
    <row r="8" spans="1:21"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</row>
    <row r="9" spans="1:21">
      <c r="A9" s="253" t="s">
        <v>279</v>
      </c>
      <c r="B9" s="253"/>
      <c r="C9" s="254" t="s">
        <v>280</v>
      </c>
      <c r="D9" s="253"/>
      <c r="E9" s="256">
        <v>226105</v>
      </c>
      <c r="F9" s="257"/>
      <c r="G9" s="258">
        <f>+E9/E$13</f>
        <v>0.12693749435081694</v>
      </c>
      <c r="H9" s="253"/>
      <c r="I9" s="256">
        <v>53955</v>
      </c>
      <c r="J9" s="257"/>
      <c r="K9" s="258">
        <f>+I9/I$13</f>
        <v>0.47257232445499375</v>
      </c>
      <c r="L9" s="253"/>
      <c r="M9" s="259">
        <f>+E9/I9</f>
        <v>4.1906218144750254</v>
      </c>
      <c r="N9" s="253"/>
      <c r="O9" s="256">
        <v>707849</v>
      </c>
      <c r="P9" s="258"/>
      <c r="Q9" s="258">
        <f>+O9/O$13</f>
        <v>0.39739315114098062</v>
      </c>
      <c r="T9" s="252">
        <v>75</v>
      </c>
      <c r="U9" s="252" t="s">
        <v>281</v>
      </c>
    </row>
    <row r="10" spans="1:21">
      <c r="A10" s="253" t="s">
        <v>282</v>
      </c>
      <c r="B10" s="253"/>
      <c r="C10" s="254" t="s">
        <v>283</v>
      </c>
      <c r="D10" s="253"/>
      <c r="E10" s="256">
        <f>501590-E9</f>
        <v>275485</v>
      </c>
      <c r="F10" s="257"/>
      <c r="G10" s="258">
        <f>+E10/E$13</f>
        <v>0.15465989531958516</v>
      </c>
      <c r="H10" s="253"/>
      <c r="I10" s="256">
        <f>79797-I9</f>
        <v>25842</v>
      </c>
      <c r="J10" s="257"/>
      <c r="K10" s="258">
        <f>+I10/I$13</f>
        <v>0.22634072854352605</v>
      </c>
      <c r="L10" s="253"/>
      <c r="M10" s="259">
        <f>+E10/I10</f>
        <v>10.660359105332404</v>
      </c>
      <c r="N10" s="253"/>
      <c r="O10" s="256">
        <f>1099606-O9</f>
        <v>391757</v>
      </c>
      <c r="P10" s="253"/>
      <c r="Q10" s="258">
        <f>+O10/O$13</f>
        <v>0.21993610037103553</v>
      </c>
      <c r="T10" s="252">
        <v>3.5</v>
      </c>
      <c r="U10" s="252" t="s">
        <v>284</v>
      </c>
    </row>
    <row r="11" spans="1:21">
      <c r="A11" s="253" t="s">
        <v>285</v>
      </c>
      <c r="B11" s="253"/>
      <c r="C11" s="254" t="s">
        <v>286</v>
      </c>
      <c r="D11" s="253"/>
      <c r="E11" s="256">
        <f>1781231-E10-E9</f>
        <v>1279641</v>
      </c>
      <c r="F11" s="257"/>
      <c r="G11" s="258">
        <f>+E11/E$13</f>
        <v>0.71840261032959796</v>
      </c>
      <c r="H11" s="253"/>
      <c r="I11" s="256">
        <f>114173-I10-I9</f>
        <v>34376</v>
      </c>
      <c r="J11" s="257"/>
      <c r="K11" s="258">
        <f>+I11/I$13</f>
        <v>0.3010869470014802</v>
      </c>
      <c r="L11" s="253"/>
      <c r="M11" s="259">
        <f>+E11/I11</f>
        <v>37.224837095648127</v>
      </c>
      <c r="N11" s="253"/>
      <c r="O11" s="256">
        <f>1781231-O10-O9</f>
        <v>681625</v>
      </c>
      <c r="P11" s="253"/>
      <c r="Q11" s="258">
        <f>+O11/O$13</f>
        <v>0.38267074848798388</v>
      </c>
      <c r="T11" s="252">
        <f>+T10*T9</f>
        <v>262.5</v>
      </c>
      <c r="U11" s="252" t="s">
        <v>287</v>
      </c>
    </row>
    <row r="12" spans="1:21">
      <c r="A12" s="253"/>
      <c r="B12" s="253"/>
      <c r="C12" s="253"/>
      <c r="D12" s="253"/>
      <c r="E12" s="256"/>
      <c r="F12" s="253"/>
      <c r="G12" s="253"/>
      <c r="H12" s="253"/>
      <c r="I12" s="256"/>
      <c r="J12" s="253"/>
      <c r="K12" s="253"/>
      <c r="L12" s="253"/>
      <c r="M12" s="253"/>
      <c r="N12" s="253"/>
      <c r="O12" s="256"/>
      <c r="P12" s="253"/>
      <c r="Q12" s="253"/>
      <c r="T12" s="252">
        <f>+T11*30</f>
        <v>7875</v>
      </c>
      <c r="U12" s="252" t="s">
        <v>288</v>
      </c>
    </row>
    <row r="13" spans="1:21">
      <c r="A13" s="253" t="s">
        <v>289</v>
      </c>
      <c r="B13" s="253"/>
      <c r="C13" s="253"/>
      <c r="D13" s="253"/>
      <c r="E13" s="256">
        <f>SUM(E9:E12)</f>
        <v>1781231</v>
      </c>
      <c r="F13" s="257"/>
      <c r="G13" s="258">
        <f>SUM(G9:G12)</f>
        <v>1</v>
      </c>
      <c r="H13" s="253"/>
      <c r="I13" s="256">
        <f>SUM(I9:I12)</f>
        <v>114173</v>
      </c>
      <c r="J13" s="257"/>
      <c r="K13" s="258">
        <f>SUM(K9:K12)</f>
        <v>1</v>
      </c>
      <c r="L13" s="253"/>
      <c r="M13" s="259">
        <f>+E13/I13</f>
        <v>15.601157891970956</v>
      </c>
      <c r="N13" s="253"/>
      <c r="O13" s="256">
        <f>SUM(O9:O12)</f>
        <v>1781231</v>
      </c>
      <c r="P13" s="253"/>
      <c r="Q13" s="258">
        <f>SUM(Q9:Q12)</f>
        <v>1</v>
      </c>
    </row>
    <row r="14" spans="1:21">
      <c r="A14" s="253"/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T14" s="252">
        <f>+T12*12</f>
        <v>94500</v>
      </c>
      <c r="U14" s="252">
        <f>+T14*2/3</f>
        <v>63000</v>
      </c>
    </row>
    <row r="15" spans="1:21">
      <c r="A15" s="253" t="s">
        <v>290</v>
      </c>
      <c r="B15" s="253"/>
      <c r="C15" s="253"/>
      <c r="D15" s="253"/>
      <c r="E15" s="260">
        <f>+'Sanlando(w)'!M26</f>
        <v>0.95</v>
      </c>
      <c r="F15" s="253"/>
      <c r="G15" s="260">
        <f>+'Water Rate Design'!I40</f>
        <v>1.97</v>
      </c>
      <c r="H15" s="253"/>
      <c r="I15" s="260">
        <f>+'Sanlando(w)'!M27</f>
        <v>1.42</v>
      </c>
      <c r="J15" s="253"/>
      <c r="K15" s="260">
        <f>+'Water Rate Design'!I41</f>
        <v>2.95</v>
      </c>
      <c r="M15" s="260">
        <f>+'Sanlando(w)'!M28</f>
        <v>2.36</v>
      </c>
      <c r="N15" s="253"/>
      <c r="O15" s="260">
        <f>+'Water Rate Design'!I42</f>
        <v>3.93</v>
      </c>
      <c r="P15" s="253"/>
      <c r="Q15" s="253"/>
    </row>
    <row r="16" spans="1:21">
      <c r="A16" s="253"/>
      <c r="B16" s="253"/>
      <c r="E16" s="295" t="s">
        <v>279</v>
      </c>
      <c r="F16" s="295"/>
      <c r="G16" s="295"/>
      <c r="H16" s="253"/>
      <c r="I16" s="295" t="s">
        <v>282</v>
      </c>
      <c r="J16" s="295"/>
      <c r="K16" s="295"/>
      <c r="L16" s="253"/>
      <c r="M16" s="295" t="s">
        <v>285</v>
      </c>
      <c r="N16" s="295"/>
      <c r="O16" s="295"/>
      <c r="P16" s="253"/>
      <c r="Q16" s="253"/>
    </row>
    <row r="17" spans="1:18">
      <c r="A17" s="253"/>
      <c r="B17" s="253"/>
      <c r="E17" s="261" t="s">
        <v>13</v>
      </c>
      <c r="F17" s="261"/>
      <c r="G17" s="261" t="s">
        <v>18</v>
      </c>
      <c r="H17" s="253"/>
      <c r="I17" s="261" t="s">
        <v>13</v>
      </c>
      <c r="J17" s="261"/>
      <c r="K17" s="261" t="s">
        <v>18</v>
      </c>
      <c r="L17" s="253"/>
      <c r="M17" s="261" t="s">
        <v>13</v>
      </c>
      <c r="N17" s="261"/>
      <c r="O17" s="261" t="s">
        <v>18</v>
      </c>
      <c r="P17" s="253"/>
      <c r="Q17" s="253"/>
    </row>
    <row r="18" spans="1:18">
      <c r="A18" s="253" t="s">
        <v>291</v>
      </c>
      <c r="B18" s="253"/>
      <c r="E18" s="260">
        <f>+'Sanlando(w)'!K15</f>
        <v>4.49</v>
      </c>
      <c r="F18" s="253"/>
      <c r="G18" s="268">
        <f>+'Water Rate Design'!I9</f>
        <v>11.54</v>
      </c>
      <c r="H18" s="253"/>
      <c r="I18" s="260">
        <f>+E18</f>
        <v>4.49</v>
      </c>
      <c r="J18" s="253"/>
      <c r="K18" s="260">
        <f>+G18</f>
        <v>11.54</v>
      </c>
      <c r="M18" s="260">
        <f>+I18</f>
        <v>4.49</v>
      </c>
      <c r="N18" s="253"/>
      <c r="O18" s="260">
        <f>+K18</f>
        <v>11.54</v>
      </c>
      <c r="P18" s="253"/>
      <c r="Q18" s="253"/>
      <c r="R18" s="262"/>
    </row>
    <row r="19" spans="1:18">
      <c r="A19" s="253" t="s">
        <v>292</v>
      </c>
      <c r="B19" s="253"/>
      <c r="E19" s="263">
        <f>+E15*M9</f>
        <v>3.981090723751274</v>
      </c>
      <c r="F19" s="253"/>
      <c r="G19" s="263">
        <f>+G15*M9</f>
        <v>8.255524974515799</v>
      </c>
      <c r="H19" s="253"/>
      <c r="I19" s="263">
        <f>(8*E15)+(M10-8)*I15</f>
        <v>11.377709929572013</v>
      </c>
      <c r="J19" s="253"/>
      <c r="K19" s="263">
        <f>8*G15+(M10-8)*K15</f>
        <v>23.608059360730593</v>
      </c>
      <c r="M19" s="263">
        <f>8*E15+8*I15+(M11-16)*M15</f>
        <v>69.050615545729585</v>
      </c>
      <c r="N19" s="253"/>
      <c r="O19" s="263">
        <f>8*G15+8*K15+(M11-16)*O15</f>
        <v>122.77360978589714</v>
      </c>
      <c r="P19" s="253"/>
      <c r="Q19" s="253"/>
      <c r="R19" s="262"/>
    </row>
    <row r="20" spans="1:18">
      <c r="A20" s="253"/>
      <c r="B20" s="253"/>
      <c r="E20" s="260">
        <f>+E18+E19</f>
        <v>8.4710907237512743</v>
      </c>
      <c r="F20" s="253"/>
      <c r="G20" s="260">
        <f>+G18+G19</f>
        <v>19.7955249745158</v>
      </c>
      <c r="H20" s="253"/>
      <c r="I20" s="260">
        <f>+I18+I19</f>
        <v>15.867709929572014</v>
      </c>
      <c r="J20" s="253"/>
      <c r="K20" s="260">
        <f>+K18+K19</f>
        <v>35.148059360730592</v>
      </c>
      <c r="M20" s="260">
        <f>+M18+M19</f>
        <v>73.54061554572958</v>
      </c>
      <c r="N20" s="253"/>
      <c r="O20" s="260">
        <f>+O18+O19</f>
        <v>134.31360978589714</v>
      </c>
      <c r="P20" s="253"/>
      <c r="Q20" s="253"/>
      <c r="R20" s="262"/>
    </row>
    <row r="21" spans="1:18">
      <c r="A21" s="253" t="s">
        <v>156</v>
      </c>
      <c r="B21" s="253"/>
      <c r="E21" s="253"/>
      <c r="F21" s="253"/>
      <c r="G21" s="258">
        <f>+G20/E20-1</f>
        <v>1.336833073811031</v>
      </c>
      <c r="H21" s="253"/>
      <c r="I21" s="253"/>
      <c r="J21" s="253"/>
      <c r="K21" s="258">
        <f>+K20/I20-1</f>
        <v>1.215068180394864</v>
      </c>
      <c r="M21" s="253"/>
      <c r="N21" s="253"/>
      <c r="O21" s="258">
        <f>+O20/M20-1</f>
        <v>0.82638680393390573</v>
      </c>
      <c r="P21" s="253"/>
      <c r="Q21" s="253"/>
    </row>
    <row r="22" spans="1:18">
      <c r="A22" s="253"/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</row>
    <row r="23" spans="1:18" ht="15.75" thickBot="1">
      <c r="A23" s="253" t="s">
        <v>293</v>
      </c>
      <c r="B23" s="253"/>
      <c r="C23" s="253"/>
      <c r="D23" s="253"/>
      <c r="F23" s="258"/>
      <c r="G23" s="264">
        <f>+G21/10*2</f>
        <v>0.26736661476220619</v>
      </c>
      <c r="H23" s="253"/>
      <c r="J23" s="258"/>
      <c r="K23" s="264">
        <f>+K21/10*2</f>
        <v>0.24301363607897281</v>
      </c>
      <c r="L23" s="253"/>
      <c r="M23" s="253"/>
      <c r="N23" s="253"/>
      <c r="O23" s="264">
        <f>+O21/10*2</f>
        <v>0.16527736078678115</v>
      </c>
      <c r="P23" s="253"/>
      <c r="Q23" s="253"/>
    </row>
    <row r="24" spans="1:18" ht="15.75" thickTop="1">
      <c r="A24" s="265" t="s">
        <v>294</v>
      </c>
      <c r="B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</row>
    <row r="25" spans="1:18">
      <c r="A25" s="253"/>
      <c r="B25" s="253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</row>
    <row r="26" spans="1:18">
      <c r="A26" s="251" t="s">
        <v>295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</row>
    <row r="27" spans="1:18">
      <c r="A27" s="253"/>
      <c r="B27" s="253"/>
      <c r="C27" s="254" t="s">
        <v>296</v>
      </c>
      <c r="D27" s="253"/>
      <c r="E27" s="253"/>
      <c r="F27" s="253"/>
      <c r="G27" s="253"/>
      <c r="H27" s="253"/>
      <c r="I27" s="296" t="s">
        <v>12</v>
      </c>
      <c r="J27" s="296"/>
      <c r="K27" s="296"/>
      <c r="L27" s="253"/>
      <c r="M27" s="253"/>
      <c r="N27" s="253"/>
      <c r="O27" s="253"/>
      <c r="P27" s="253"/>
      <c r="Q27" s="253"/>
    </row>
    <row r="28" spans="1:18">
      <c r="A28" s="253"/>
      <c r="B28" s="253"/>
      <c r="C28" s="254" t="s">
        <v>297</v>
      </c>
      <c r="D28" s="253"/>
      <c r="E28" s="254" t="s">
        <v>298</v>
      </c>
      <c r="F28" s="253"/>
      <c r="G28" s="254" t="s">
        <v>299</v>
      </c>
      <c r="H28" s="253"/>
      <c r="I28" s="297" t="s">
        <v>300</v>
      </c>
      <c r="J28" s="297"/>
      <c r="K28" s="297"/>
      <c r="L28" s="253"/>
      <c r="M28" s="253"/>
      <c r="N28" s="253"/>
      <c r="O28" s="253"/>
      <c r="P28" s="253"/>
      <c r="Q28" s="253"/>
    </row>
    <row r="29" spans="1:18">
      <c r="A29" s="253"/>
      <c r="B29" s="253"/>
      <c r="C29" s="255" t="s">
        <v>278</v>
      </c>
      <c r="D29" s="253"/>
      <c r="E29" s="255" t="s">
        <v>301</v>
      </c>
      <c r="F29" s="253"/>
      <c r="G29" s="255" t="s">
        <v>302</v>
      </c>
      <c r="H29" s="253"/>
      <c r="I29" s="295" t="s">
        <v>278</v>
      </c>
      <c r="J29" s="295"/>
      <c r="K29" s="295"/>
      <c r="L29" s="253"/>
      <c r="M29" s="253"/>
      <c r="N29" s="253"/>
      <c r="O29" s="253"/>
      <c r="P29" s="253"/>
      <c r="Q29" s="253"/>
    </row>
    <row r="30" spans="1:18">
      <c r="A30" s="253" t="s">
        <v>279</v>
      </c>
      <c r="B30" s="253"/>
      <c r="C30" s="256">
        <f>+O9</f>
        <v>707849</v>
      </c>
      <c r="D30" s="253"/>
      <c r="E30" s="266">
        <f>+G23*0</f>
        <v>0</v>
      </c>
      <c r="F30" s="253"/>
      <c r="G30" s="256">
        <f>C30*E30</f>
        <v>0</v>
      </c>
      <c r="H30" s="253"/>
      <c r="I30" s="256">
        <f>+C30-G30</f>
        <v>707849</v>
      </c>
      <c r="J30" s="253"/>
      <c r="K30" s="258">
        <f>+I30/I$34</f>
        <v>0.44989310429026275</v>
      </c>
      <c r="L30" s="253"/>
      <c r="M30" s="253"/>
      <c r="N30" s="253"/>
      <c r="O30" s="253"/>
      <c r="P30" s="253"/>
      <c r="Q30" s="253"/>
    </row>
    <row r="31" spans="1:18">
      <c r="A31" s="253" t="s">
        <v>282</v>
      </c>
      <c r="B31" s="253"/>
      <c r="C31" s="256">
        <f>+O10</f>
        <v>391757</v>
      </c>
      <c r="D31" s="253"/>
      <c r="E31" s="266">
        <f>+K23</f>
        <v>0.24301363607897281</v>
      </c>
      <c r="F31" s="253"/>
      <c r="G31" s="256">
        <f>C31*E31</f>
        <v>95202.293029390145</v>
      </c>
      <c r="H31" s="253"/>
      <c r="I31" s="256">
        <f>+C31-G31</f>
        <v>296554.70697060984</v>
      </c>
      <c r="J31" s="253"/>
      <c r="K31" s="258">
        <f>+I31/I$34</f>
        <v>0.18848358578015492</v>
      </c>
      <c r="L31" s="253"/>
      <c r="M31" s="253"/>
      <c r="N31" s="253"/>
      <c r="O31" s="253"/>
      <c r="P31" s="253"/>
      <c r="Q31" s="253"/>
    </row>
    <row r="32" spans="1:18">
      <c r="A32" s="253" t="s">
        <v>285</v>
      </c>
      <c r="B32" s="253"/>
      <c r="C32" s="256">
        <f>+O11</f>
        <v>681625</v>
      </c>
      <c r="D32" s="253"/>
      <c r="E32" s="266">
        <f>+O23</f>
        <v>0.16527736078678115</v>
      </c>
      <c r="F32" s="253"/>
      <c r="G32" s="256">
        <f>C32*E32</f>
        <v>112657.1810462897</v>
      </c>
      <c r="H32" s="253"/>
      <c r="I32" s="256">
        <f>+C32-G32</f>
        <v>568967.81895371026</v>
      </c>
      <c r="J32" s="253"/>
      <c r="K32" s="258">
        <f>+I32/I$34</f>
        <v>0.3616233099295823</v>
      </c>
      <c r="L32" s="253"/>
      <c r="M32" s="253"/>
      <c r="N32" s="253"/>
      <c r="O32" s="253"/>
      <c r="P32" s="253"/>
      <c r="Q32" s="253"/>
    </row>
    <row r="33" spans="1:17">
      <c r="A33" s="253"/>
      <c r="B33" s="253"/>
      <c r="C33" s="256"/>
      <c r="D33" s="253"/>
      <c r="E33" s="253"/>
      <c r="F33" s="253"/>
      <c r="G33" s="256"/>
      <c r="H33" s="253"/>
      <c r="I33" s="256"/>
      <c r="J33" s="253"/>
      <c r="K33" s="253"/>
      <c r="L33" s="253"/>
      <c r="M33" s="253"/>
      <c r="N33" s="253"/>
      <c r="O33" s="253"/>
      <c r="P33" s="253"/>
      <c r="Q33" s="253"/>
    </row>
    <row r="34" spans="1:17">
      <c r="A34" s="253" t="s">
        <v>289</v>
      </c>
      <c r="B34" s="253"/>
      <c r="C34" s="256">
        <f>SUM(C30:C33)</f>
        <v>1781231</v>
      </c>
      <c r="D34" s="253"/>
      <c r="E34" s="253"/>
      <c r="F34" s="253"/>
      <c r="G34" s="256">
        <f>SUM(G30:G33)</f>
        <v>207859.47407567984</v>
      </c>
      <c r="H34" s="253"/>
      <c r="I34" s="256">
        <f>SUM(I30:I33)</f>
        <v>1573371.5259243201</v>
      </c>
      <c r="J34" s="253"/>
      <c r="K34" s="258">
        <f>SUM(K30:K33)</f>
        <v>1</v>
      </c>
      <c r="L34" s="253"/>
      <c r="M34" s="253"/>
      <c r="N34" s="253"/>
      <c r="O34" s="253"/>
      <c r="P34" s="253"/>
      <c r="Q34" s="253"/>
    </row>
    <row r="35" spans="1:17">
      <c r="A35" s="253"/>
      <c r="B35" s="253"/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</row>
    <row r="36" spans="1:17">
      <c r="A36" s="253"/>
      <c r="B36" s="253"/>
      <c r="C36" s="253"/>
      <c r="D36" s="253"/>
      <c r="E36" s="253"/>
      <c r="F36" s="253"/>
      <c r="G36" s="267">
        <f>+G34/C34</f>
        <v>0.11669428281659136</v>
      </c>
      <c r="H36" s="253"/>
      <c r="I36" s="253"/>
      <c r="J36" s="253"/>
      <c r="K36" s="253"/>
      <c r="L36" s="253"/>
      <c r="M36" s="253"/>
      <c r="N36" s="253"/>
      <c r="O36" s="253"/>
      <c r="P36" s="253"/>
      <c r="Q36" s="253"/>
    </row>
    <row r="37" spans="1:17">
      <c r="A37" s="253"/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</row>
    <row r="38" spans="1:17">
      <c r="A38" s="253"/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</row>
    <row r="39" spans="1:17">
      <c r="A39" s="253"/>
      <c r="B39" s="253"/>
      <c r="C39" s="253"/>
      <c r="D39" s="253"/>
      <c r="E39" s="258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</row>
    <row r="40" spans="1:17">
      <c r="A40" s="253"/>
      <c r="B40" s="253"/>
      <c r="C40" s="260"/>
      <c r="D40" s="253"/>
      <c r="E40" s="260"/>
      <c r="F40" s="253"/>
      <c r="G40" s="260"/>
      <c r="H40" s="253"/>
      <c r="I40" s="260"/>
      <c r="J40" s="253"/>
      <c r="K40" s="253"/>
      <c r="L40" s="253"/>
      <c r="M40" s="253"/>
      <c r="N40" s="253"/>
      <c r="O40" s="253"/>
      <c r="P40" s="253"/>
      <c r="Q40" s="253"/>
    </row>
    <row r="41" spans="1:17">
      <c r="A41" s="253"/>
      <c r="B41" s="253"/>
      <c r="C41" s="253"/>
      <c r="D41" s="253"/>
      <c r="E41" s="260"/>
      <c r="F41" s="253"/>
      <c r="G41" s="253"/>
      <c r="H41" s="253"/>
      <c r="I41" s="260"/>
      <c r="J41" s="253"/>
      <c r="K41" s="253"/>
      <c r="L41" s="253"/>
      <c r="M41" s="253"/>
      <c r="N41" s="253"/>
      <c r="O41" s="253"/>
      <c r="P41" s="253"/>
      <c r="Q41" s="253"/>
    </row>
    <row r="42" spans="1:17">
      <c r="A42" s="253"/>
      <c r="B42" s="253"/>
      <c r="C42" s="253"/>
      <c r="D42" s="253"/>
      <c r="E42" s="260"/>
      <c r="F42" s="253"/>
      <c r="G42" s="253"/>
      <c r="H42" s="253"/>
      <c r="I42" s="260"/>
      <c r="J42" s="253"/>
      <c r="K42" s="253"/>
      <c r="L42" s="253"/>
      <c r="M42" s="253"/>
      <c r="N42" s="253"/>
      <c r="O42" s="253"/>
      <c r="P42" s="253"/>
      <c r="Q42" s="253"/>
    </row>
    <row r="43" spans="1:17">
      <c r="A43" s="253"/>
      <c r="B43" s="253"/>
      <c r="C43" s="253"/>
      <c r="D43" s="253"/>
      <c r="E43" s="258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</row>
    <row r="44" spans="1:17">
      <c r="A44" s="253"/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</row>
    <row r="45" spans="1:17">
      <c r="A45" s="253"/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</row>
    <row r="46" spans="1:17">
      <c r="A46" s="253"/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</row>
    <row r="47" spans="1:17">
      <c r="A47" s="253"/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</row>
    <row r="48" spans="1:17">
      <c r="A48" s="253"/>
      <c r="B48" s="253"/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</row>
    <row r="49" spans="1:17">
      <c r="A49" s="253"/>
      <c r="B49" s="253"/>
      <c r="C49" s="253"/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</row>
    <row r="50" spans="1:17">
      <c r="A50" s="253"/>
      <c r="B50" s="253"/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</row>
    <row r="51" spans="1:17">
      <c r="A51" s="253"/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</row>
    <row r="52" spans="1:17">
      <c r="A52" s="253"/>
      <c r="B52" s="253"/>
      <c r="C52" s="253"/>
      <c r="D52" s="253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</row>
    <row r="53" spans="1:17">
      <c r="A53" s="253"/>
      <c r="B53" s="253"/>
      <c r="C53" s="253"/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</row>
    <row r="54" spans="1:17">
      <c r="A54" s="253"/>
      <c r="B54" s="253"/>
      <c r="C54" s="253"/>
      <c r="D54" s="253"/>
      <c r="E54" s="253"/>
      <c r="F54" s="253"/>
      <c r="G54" s="253"/>
      <c r="H54" s="253"/>
      <c r="I54" s="253"/>
      <c r="J54" s="253"/>
      <c r="K54" s="253"/>
      <c r="L54" s="253"/>
      <c r="M54" s="253"/>
      <c r="N54" s="253"/>
      <c r="O54" s="253"/>
      <c r="P54" s="253"/>
      <c r="Q54" s="253"/>
    </row>
    <row r="55" spans="1:17">
      <c r="A55" s="253"/>
      <c r="B55" s="253"/>
      <c r="C55" s="253"/>
      <c r="D55" s="253"/>
      <c r="E55" s="253"/>
      <c r="F55" s="253"/>
      <c r="G55" s="253"/>
      <c r="H55" s="253"/>
      <c r="I55" s="253"/>
      <c r="J55" s="253"/>
      <c r="K55" s="253"/>
      <c r="L55" s="253"/>
      <c r="M55" s="253"/>
      <c r="N55" s="253"/>
      <c r="O55" s="253"/>
      <c r="P55" s="253"/>
      <c r="Q55" s="253"/>
    </row>
    <row r="56" spans="1:17">
      <c r="A56" s="253"/>
      <c r="B56" s="253"/>
      <c r="C56" s="253"/>
      <c r="D56" s="253"/>
      <c r="E56" s="253"/>
      <c r="F56" s="253"/>
      <c r="G56" s="253"/>
      <c r="H56" s="253"/>
      <c r="I56" s="253"/>
      <c r="J56" s="253"/>
      <c r="K56" s="253"/>
      <c r="L56" s="253"/>
      <c r="M56" s="253"/>
      <c r="N56" s="253"/>
      <c r="O56" s="253"/>
      <c r="P56" s="253"/>
      <c r="Q56" s="253"/>
    </row>
    <row r="57" spans="1:17">
      <c r="A57" s="253"/>
      <c r="B57" s="253"/>
      <c r="C57" s="253"/>
      <c r="D57" s="253"/>
      <c r="E57" s="253"/>
      <c r="F57" s="253"/>
      <c r="G57" s="253"/>
      <c r="H57" s="253"/>
      <c r="I57" s="253"/>
      <c r="J57" s="253"/>
      <c r="K57" s="253"/>
      <c r="L57" s="253"/>
      <c r="M57" s="253"/>
      <c r="N57" s="253"/>
      <c r="O57" s="253"/>
      <c r="P57" s="253"/>
      <c r="Q57" s="253"/>
    </row>
    <row r="58" spans="1:17">
      <c r="A58" s="253"/>
      <c r="B58" s="253"/>
      <c r="C58" s="253"/>
      <c r="D58" s="253"/>
      <c r="E58" s="253"/>
      <c r="F58" s="253"/>
      <c r="G58" s="253"/>
      <c r="H58" s="253"/>
      <c r="I58" s="253"/>
      <c r="J58" s="253"/>
      <c r="K58" s="253"/>
      <c r="L58" s="253"/>
      <c r="M58" s="253"/>
      <c r="N58" s="253"/>
      <c r="O58" s="253"/>
      <c r="P58" s="253"/>
      <c r="Q58" s="253"/>
    </row>
    <row r="59" spans="1:17">
      <c r="A59" s="253"/>
      <c r="B59" s="253"/>
      <c r="C59" s="253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</row>
    <row r="60" spans="1:17">
      <c r="A60" s="253"/>
      <c r="B60" s="253"/>
      <c r="C60" s="253"/>
      <c r="D60" s="253"/>
      <c r="E60" s="253"/>
      <c r="F60" s="253"/>
      <c r="G60" s="253"/>
      <c r="H60" s="253"/>
      <c r="I60" s="253"/>
      <c r="J60" s="253"/>
      <c r="K60" s="253"/>
      <c r="L60" s="253"/>
      <c r="M60" s="253"/>
      <c r="N60" s="253"/>
      <c r="O60" s="253"/>
      <c r="P60" s="253"/>
      <c r="Q60" s="253"/>
    </row>
    <row r="61" spans="1:17">
      <c r="A61" s="253"/>
      <c r="B61" s="253"/>
      <c r="C61" s="253"/>
      <c r="D61" s="253"/>
      <c r="E61" s="253"/>
      <c r="F61" s="253"/>
      <c r="G61" s="253"/>
      <c r="H61" s="253"/>
      <c r="I61" s="253"/>
      <c r="J61" s="253"/>
      <c r="K61" s="253"/>
      <c r="L61" s="253"/>
      <c r="M61" s="253"/>
      <c r="N61" s="253"/>
      <c r="O61" s="253"/>
      <c r="P61" s="253"/>
      <c r="Q61" s="253"/>
    </row>
    <row r="62" spans="1:17">
      <c r="A62" s="253"/>
      <c r="B62" s="253"/>
      <c r="C62" s="253"/>
      <c r="D62" s="253"/>
      <c r="E62" s="253"/>
      <c r="F62" s="253"/>
      <c r="G62" s="253"/>
      <c r="H62" s="253"/>
      <c r="I62" s="253"/>
      <c r="J62" s="253"/>
      <c r="K62" s="253"/>
      <c r="L62" s="253"/>
      <c r="M62" s="253"/>
      <c r="N62" s="253"/>
      <c r="O62" s="253"/>
      <c r="P62" s="253"/>
      <c r="Q62" s="253"/>
    </row>
    <row r="63" spans="1:17">
      <c r="A63" s="253"/>
      <c r="B63" s="253"/>
      <c r="C63" s="253"/>
      <c r="D63" s="253"/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53"/>
      <c r="P63" s="253"/>
      <c r="Q63" s="253"/>
    </row>
    <row r="64" spans="1:17">
      <c r="A64" s="253"/>
      <c r="B64" s="253"/>
      <c r="C64" s="253"/>
      <c r="D64" s="253"/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253"/>
    </row>
    <row r="65" spans="1:17">
      <c r="A65" s="253"/>
      <c r="B65" s="253"/>
      <c r="C65" s="253"/>
      <c r="D65" s="253"/>
      <c r="E65" s="253"/>
      <c r="F65" s="253"/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253"/>
    </row>
    <row r="66" spans="1:17">
      <c r="A66" s="253"/>
      <c r="B66" s="253"/>
      <c r="C66" s="253"/>
      <c r="D66" s="253"/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53"/>
      <c r="P66" s="253"/>
      <c r="Q66" s="253"/>
    </row>
    <row r="67" spans="1:17">
      <c r="A67" s="253"/>
      <c r="B67" s="253"/>
      <c r="C67" s="253"/>
      <c r="D67" s="253"/>
      <c r="E67" s="253"/>
      <c r="F67" s="253"/>
      <c r="G67" s="253"/>
      <c r="H67" s="253"/>
      <c r="I67" s="253"/>
      <c r="J67" s="253"/>
      <c r="K67" s="253"/>
      <c r="L67" s="253"/>
      <c r="M67" s="253"/>
      <c r="N67" s="253"/>
      <c r="O67" s="253"/>
      <c r="P67" s="253"/>
      <c r="Q67" s="253"/>
    </row>
    <row r="68" spans="1:17">
      <c r="A68" s="253"/>
      <c r="B68" s="253"/>
      <c r="C68" s="253"/>
      <c r="D68" s="253"/>
      <c r="E68" s="253"/>
      <c r="F68" s="253"/>
      <c r="G68" s="253"/>
      <c r="H68" s="253"/>
      <c r="I68" s="253"/>
      <c r="J68" s="253"/>
      <c r="K68" s="253"/>
      <c r="L68" s="253"/>
      <c r="M68" s="253"/>
      <c r="N68" s="253"/>
      <c r="O68" s="253"/>
      <c r="P68" s="253"/>
      <c r="Q68" s="253"/>
    </row>
    <row r="69" spans="1:17">
      <c r="A69" s="253"/>
      <c r="B69" s="253"/>
      <c r="C69" s="253"/>
      <c r="D69" s="253"/>
      <c r="E69" s="253"/>
      <c r="F69" s="253"/>
      <c r="G69" s="253"/>
      <c r="H69" s="253"/>
      <c r="I69" s="253"/>
      <c r="J69" s="253"/>
      <c r="K69" s="253"/>
      <c r="L69" s="253"/>
      <c r="M69" s="253"/>
      <c r="N69" s="253"/>
      <c r="O69" s="253"/>
      <c r="P69" s="253"/>
      <c r="Q69" s="253"/>
    </row>
    <row r="70" spans="1:17">
      <c r="A70" s="253"/>
      <c r="B70" s="253"/>
      <c r="C70" s="253"/>
      <c r="D70" s="253"/>
      <c r="E70" s="253"/>
      <c r="F70" s="253"/>
      <c r="G70" s="253"/>
      <c r="H70" s="253"/>
      <c r="I70" s="253"/>
      <c r="J70" s="253"/>
      <c r="K70" s="253"/>
      <c r="L70" s="253"/>
      <c r="M70" s="253"/>
      <c r="N70" s="253"/>
      <c r="O70" s="253"/>
      <c r="P70" s="253"/>
      <c r="Q70" s="253"/>
    </row>
    <row r="71" spans="1:17">
      <c r="A71" s="253"/>
      <c r="B71" s="253"/>
      <c r="C71" s="253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53"/>
      <c r="O71" s="253"/>
      <c r="P71" s="253"/>
      <c r="Q71" s="253"/>
    </row>
    <row r="72" spans="1:17">
      <c r="A72" s="253"/>
      <c r="B72" s="253"/>
      <c r="C72" s="253"/>
      <c r="D72" s="253"/>
      <c r="E72" s="253"/>
      <c r="F72" s="253"/>
      <c r="G72" s="253"/>
      <c r="H72" s="253"/>
      <c r="I72" s="253"/>
      <c r="J72" s="253"/>
      <c r="K72" s="253"/>
      <c r="L72" s="253"/>
      <c r="M72" s="253"/>
      <c r="N72" s="253"/>
      <c r="O72" s="253"/>
      <c r="P72" s="253"/>
      <c r="Q72" s="253"/>
    </row>
    <row r="73" spans="1:17">
      <c r="A73" s="253"/>
      <c r="B73" s="253"/>
      <c r="C73" s="253"/>
      <c r="D73" s="253"/>
      <c r="E73" s="253"/>
      <c r="F73" s="253"/>
      <c r="G73" s="253"/>
      <c r="H73" s="253"/>
      <c r="I73" s="253"/>
      <c r="J73" s="253"/>
      <c r="K73" s="253"/>
      <c r="L73" s="253"/>
      <c r="M73" s="253"/>
      <c r="N73" s="253"/>
      <c r="O73" s="253"/>
      <c r="P73" s="253"/>
      <c r="Q73" s="253"/>
    </row>
    <row r="74" spans="1:17">
      <c r="A74" s="253"/>
      <c r="B74" s="253"/>
      <c r="C74" s="253"/>
      <c r="D74" s="253"/>
      <c r="E74" s="253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253"/>
    </row>
    <row r="75" spans="1:17">
      <c r="A75" s="253"/>
      <c r="B75" s="253"/>
      <c r="C75" s="253"/>
      <c r="D75" s="253"/>
      <c r="E75" s="253"/>
      <c r="F75" s="253"/>
      <c r="G75" s="253"/>
      <c r="H75" s="253"/>
      <c r="I75" s="253"/>
      <c r="J75" s="253"/>
      <c r="K75" s="253"/>
      <c r="L75" s="253"/>
      <c r="M75" s="253"/>
      <c r="N75" s="253"/>
      <c r="O75" s="253"/>
      <c r="P75" s="253"/>
      <c r="Q75" s="253"/>
    </row>
    <row r="76" spans="1:17">
      <c r="A76" s="253"/>
      <c r="B76" s="253"/>
      <c r="C76" s="253"/>
      <c r="D76" s="253"/>
      <c r="E76" s="253"/>
      <c r="F76" s="253"/>
      <c r="G76" s="253"/>
      <c r="H76" s="253"/>
      <c r="I76" s="253"/>
      <c r="J76" s="253"/>
      <c r="K76" s="253"/>
      <c r="L76" s="253"/>
      <c r="M76" s="253"/>
      <c r="N76" s="253"/>
      <c r="O76" s="253"/>
      <c r="P76" s="253"/>
      <c r="Q76" s="253"/>
    </row>
    <row r="77" spans="1:17">
      <c r="A77" s="253"/>
      <c r="B77" s="253"/>
      <c r="C77" s="253"/>
      <c r="D77" s="253"/>
      <c r="E77" s="253"/>
      <c r="F77" s="253"/>
      <c r="G77" s="253"/>
      <c r="H77" s="253"/>
      <c r="I77" s="253"/>
      <c r="J77" s="253"/>
      <c r="K77" s="253"/>
      <c r="L77" s="253"/>
      <c r="M77" s="253"/>
      <c r="N77" s="253"/>
      <c r="O77" s="253"/>
      <c r="P77" s="253"/>
      <c r="Q77" s="253"/>
    </row>
    <row r="78" spans="1:17">
      <c r="A78" s="253"/>
      <c r="B78" s="253"/>
      <c r="C78" s="253"/>
      <c r="D78" s="253"/>
      <c r="E78" s="253"/>
      <c r="F78" s="253"/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253"/>
    </row>
    <row r="79" spans="1:17">
      <c r="A79" s="253"/>
      <c r="B79" s="253"/>
      <c r="C79" s="253"/>
      <c r="D79" s="253"/>
      <c r="E79" s="253"/>
      <c r="F79" s="253"/>
      <c r="G79" s="253"/>
      <c r="H79" s="253"/>
      <c r="I79" s="253"/>
      <c r="J79" s="253"/>
      <c r="K79" s="253"/>
      <c r="L79" s="253"/>
      <c r="M79" s="253"/>
      <c r="N79" s="253"/>
      <c r="O79" s="253"/>
      <c r="P79" s="253"/>
      <c r="Q79" s="253"/>
    </row>
    <row r="80" spans="1:17">
      <c r="A80" s="253"/>
      <c r="B80" s="253"/>
      <c r="C80" s="253"/>
      <c r="D80" s="253"/>
      <c r="E80" s="253"/>
      <c r="F80" s="253"/>
      <c r="G80" s="253"/>
      <c r="H80" s="253"/>
      <c r="I80" s="253"/>
      <c r="J80" s="253"/>
      <c r="K80" s="253"/>
      <c r="L80" s="253"/>
      <c r="M80" s="253"/>
      <c r="N80" s="253"/>
      <c r="O80" s="253"/>
      <c r="P80" s="253"/>
      <c r="Q80" s="253"/>
    </row>
    <row r="81" spans="1:17">
      <c r="A81" s="253"/>
      <c r="B81" s="253"/>
      <c r="C81" s="253"/>
      <c r="D81" s="253"/>
      <c r="E81" s="253"/>
      <c r="F81" s="253"/>
      <c r="G81" s="253"/>
      <c r="H81" s="253"/>
      <c r="I81" s="253"/>
      <c r="J81" s="253"/>
      <c r="K81" s="253"/>
      <c r="L81" s="253"/>
      <c r="M81" s="253"/>
      <c r="N81" s="253"/>
      <c r="O81" s="253"/>
      <c r="P81" s="253"/>
      <c r="Q81" s="253"/>
    </row>
  </sheetData>
  <mergeCells count="12">
    <mergeCell ref="I29:K29"/>
    <mergeCell ref="E6:G6"/>
    <mergeCell ref="I6:K6"/>
    <mergeCell ref="O6:Q6"/>
    <mergeCell ref="E7:G7"/>
    <mergeCell ref="I7:K7"/>
    <mergeCell ref="O7:Q7"/>
    <mergeCell ref="E16:G16"/>
    <mergeCell ref="I16:K16"/>
    <mergeCell ref="M16:O16"/>
    <mergeCell ref="I27:K27"/>
    <mergeCell ref="I28:K28"/>
  </mergeCells>
  <printOptions horizontalCentered="1"/>
  <pageMargins left="0.75" right="0.5" top="1" bottom="1" header="0.5" footer="0.5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10</vt:i4>
      </vt:variant>
    </vt:vector>
  </HeadingPairs>
  <TitlesOfParts>
    <vt:vector size="32" baseType="lpstr">
      <vt:lpstr>E 2 (water)</vt:lpstr>
      <vt:lpstr>COVER</vt:lpstr>
      <vt:lpstr>Contents</vt:lpstr>
      <vt:lpstr>Water Rate Design</vt:lpstr>
      <vt:lpstr>W-Revenue Summary</vt:lpstr>
      <vt:lpstr>W-Bills Summary</vt:lpstr>
      <vt:lpstr>W-Usage Summary</vt:lpstr>
      <vt:lpstr>W-Rate Summary</vt:lpstr>
      <vt:lpstr>RepressionWP-Sanlando</vt:lpstr>
      <vt:lpstr>RepressionWP-LUSI</vt:lpstr>
      <vt:lpstr>Cypress(w)</vt:lpstr>
      <vt:lpstr>Labrador(w)</vt:lpstr>
      <vt:lpstr>LakePlacid(w)</vt:lpstr>
      <vt:lpstr>LUSI(w)</vt:lpstr>
      <vt:lpstr>Pennbrooke(w)</vt:lpstr>
      <vt:lpstr>Sanlando(w)</vt:lpstr>
      <vt:lpstr>UIF-Marion(w)</vt:lpstr>
      <vt:lpstr>UIF-Orange(w)</vt:lpstr>
      <vt:lpstr>UIF-Pasco-Orangewood(w)</vt:lpstr>
      <vt:lpstr>UIF-Pasco-Summertree(w)</vt:lpstr>
      <vt:lpstr>UIF-Pinellas(w)</vt:lpstr>
      <vt:lpstr>UIF-Seminole(w)</vt:lpstr>
      <vt:lpstr>'E 2 (water)'!Print_Area</vt:lpstr>
      <vt:lpstr>'LakePlacid(w)'!Print_Area</vt:lpstr>
      <vt:lpstr>'LUSI(w)'!Print_Area</vt:lpstr>
      <vt:lpstr>'RepressionWP-LUSI'!Print_Area</vt:lpstr>
      <vt:lpstr>'RepressionWP-Sanlando'!Print_Area</vt:lpstr>
      <vt:lpstr>'Water Rate Design'!Print_Area</vt:lpstr>
      <vt:lpstr>'W-Bills Summary'!Print_Area</vt:lpstr>
      <vt:lpstr>'W-Rate Summary'!Print_Area</vt:lpstr>
      <vt:lpstr>'W-Revenue Summary'!Print_Area</vt:lpstr>
      <vt:lpstr>'W-Usage Summary'!Print_Area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</cp:lastModifiedBy>
  <cp:lastPrinted>2017-02-27T21:46:59Z</cp:lastPrinted>
  <dcterms:created xsi:type="dcterms:W3CDTF">2016-08-01T20:26:12Z</dcterms:created>
  <dcterms:modified xsi:type="dcterms:W3CDTF">2017-02-27T21:49:12Z</dcterms:modified>
</cp:coreProperties>
</file>